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محمدامین\کسب و کار\پروژه\"/>
    </mc:Choice>
  </mc:AlternateContent>
  <xr:revisionPtr revIDLastSave="0" documentId="13_ncr:1_{9836E8D2-7058-4AFB-84EF-F30F65AF5E8D}" xr6:coauthVersionLast="46" xr6:coauthVersionMax="46" xr10:uidLastSave="{00000000-0000-0000-0000-000000000000}"/>
  <bookViews>
    <workbookView xWindow="-120" yWindow="-120" windowWidth="20730" windowHeight="11760" xr2:uid="{5A766F3C-DAEC-4867-AC48-698691D44C08}"/>
  </bookViews>
  <sheets>
    <sheet name="Sheet1" sheetId="1" r:id="rId1"/>
  </sheets>
  <definedNames>
    <definedName name="sum">Sheet1!$F$14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Q20" i="1"/>
  <c r="E31" i="1"/>
  <c r="F31" i="1" s="1"/>
  <c r="D18" i="1"/>
  <c r="D17" i="1" s="1"/>
  <c r="F17" i="1" s="1"/>
  <c r="Q15" i="1"/>
  <c r="Q16" i="1"/>
  <c r="Q17" i="1"/>
  <c r="Q14" i="1"/>
  <c r="E21" i="1"/>
  <c r="F21" i="1" s="1"/>
  <c r="F27" i="1"/>
  <c r="F30" i="1"/>
  <c r="F28" i="1"/>
  <c r="F19" i="1"/>
  <c r="F20" i="1"/>
  <c r="R33" i="1" l="1"/>
  <c r="R32" i="1"/>
  <c r="F18" i="1"/>
  <c r="Q18" i="1"/>
  <c r="M26" i="1" s="1"/>
  <c r="F12" i="1"/>
  <c r="E12" i="1"/>
  <c r="E11" i="1"/>
  <c r="E10" i="1"/>
  <c r="C13" i="1"/>
  <c r="E13" i="1" s="1"/>
  <c r="D13" i="1"/>
  <c r="R26" i="1" l="1"/>
  <c r="Q26" i="1"/>
  <c r="P26" i="1"/>
  <c r="F10" i="1"/>
  <c r="F11" i="1"/>
  <c r="F13" i="1"/>
  <c r="F9" i="1"/>
  <c r="E9" i="1" s="1"/>
  <c r="F8" i="1"/>
  <c r="E8" i="1" s="1"/>
  <c r="M16" i="1"/>
  <c r="M17" i="1"/>
  <c r="M15" i="1"/>
  <c r="M14" i="1"/>
  <c r="E2" i="1"/>
  <c r="S26" i="1" l="1"/>
  <c r="M27" i="1"/>
  <c r="F14" i="1"/>
  <c r="H16" i="1" s="1"/>
  <c r="E14" i="1"/>
  <c r="D29" i="1" s="1"/>
  <c r="F29" i="1" s="1"/>
  <c r="F32" i="1" s="1"/>
  <c r="F33" i="1" s="1"/>
  <c r="H18" i="1" s="1"/>
  <c r="M18" i="1"/>
  <c r="M20" i="1" s="1"/>
  <c r="P27" i="1" l="1"/>
  <c r="R27" i="1"/>
  <c r="Q27" i="1"/>
  <c r="N27" i="1"/>
  <c r="O27" i="1" s="1"/>
  <c r="N20" i="1"/>
  <c r="O20" i="1" s="1"/>
  <c r="P20" i="1"/>
  <c r="M21" i="1" s="1"/>
  <c r="S20" i="1" l="1"/>
  <c r="R31" i="1" s="1"/>
  <c r="R21" i="1"/>
  <c r="Q21" i="1"/>
  <c r="S21" i="1" s="1"/>
  <c r="S27" i="1"/>
  <c r="M28" i="1"/>
  <c r="P21" i="1"/>
  <c r="M22" i="1" s="1"/>
  <c r="N21" i="1"/>
  <c r="O21" i="1" s="1"/>
  <c r="P28" i="1" l="1"/>
  <c r="Q28" i="1"/>
  <c r="R28" i="1"/>
  <c r="R22" i="1"/>
  <c r="Q22" i="1"/>
  <c r="N28" i="1"/>
  <c r="O28" i="1" s="1"/>
  <c r="M29" i="1"/>
  <c r="Q29" i="1" s="1"/>
  <c r="N22" i="1"/>
  <c r="O22" i="1" s="1"/>
  <c r="P22" i="1"/>
  <c r="M23" i="1" s="1"/>
  <c r="S28" i="1" l="1"/>
  <c r="S29" i="1" s="1"/>
  <c r="R29" i="1"/>
  <c r="N23" i="1"/>
  <c r="O23" i="1" s="1"/>
  <c r="Q23" i="1"/>
  <c r="R23" i="1"/>
  <c r="S22" i="1"/>
  <c r="P23" i="1"/>
  <c r="M24" i="1" s="1"/>
  <c r="Q24" i="1" l="1"/>
  <c r="R24" i="1"/>
  <c r="S23" i="1"/>
  <c r="N24" i="1"/>
  <c r="O24" i="1" s="1"/>
  <c r="M25" i="1"/>
  <c r="Q25" i="1" s="1"/>
  <c r="P24" i="1"/>
  <c r="N26" i="1" s="1"/>
  <c r="O26" i="1" s="1"/>
  <c r="F22" i="1"/>
  <c r="D23" i="1" s="1"/>
  <c r="F23" i="1" s="1"/>
  <c r="F24" i="1" s="1"/>
  <c r="H17" i="1" s="1"/>
  <c r="H15" i="1" s="1"/>
  <c r="H14" i="1" s="1"/>
  <c r="S24" i="1" l="1"/>
  <c r="R25" i="1"/>
  <c r="R30" i="1" s="1"/>
  <c r="Q30" i="1"/>
  <c r="H19" i="1"/>
  <c r="H23" i="1" s="1"/>
  <c r="S30" i="1" l="1"/>
  <c r="S25" i="1"/>
  <c r="H21" i="1"/>
  <c r="H22" i="1"/>
</calcChain>
</file>

<file path=xl/sharedStrings.xml><?xml version="1.0" encoding="utf-8"?>
<sst xmlns="http://schemas.openxmlformats.org/spreadsheetml/2006/main" count="120" uniqueCount="87">
  <si>
    <t>مواد اولیه</t>
  </si>
  <si>
    <t>پلاستیک</t>
  </si>
  <si>
    <t>فنر</t>
  </si>
  <si>
    <t>واحد</t>
  </si>
  <si>
    <t>قیمت فروش</t>
  </si>
  <si>
    <t>هزینه استهلاک دستگاه</t>
  </si>
  <si>
    <t>هزینه اجاره وانت</t>
  </si>
  <si>
    <t>جعبه بسته بندی</t>
  </si>
  <si>
    <t>چرخ دنده</t>
  </si>
  <si>
    <t>مواد اولیه در هر بسته</t>
  </si>
  <si>
    <t>بهای تمام شده</t>
  </si>
  <si>
    <t>مارجین</t>
  </si>
  <si>
    <t>مارکاپ</t>
  </si>
  <si>
    <t>سود</t>
  </si>
  <si>
    <t>حقوق هر کارگر</t>
  </si>
  <si>
    <t>کیلو گرم</t>
  </si>
  <si>
    <t>تعداد تولید در ماه</t>
  </si>
  <si>
    <t>قیمت (تومان)</t>
  </si>
  <si>
    <t>مجموع</t>
  </si>
  <si>
    <t>هزینه های کارخانه</t>
  </si>
  <si>
    <t>حجم</t>
  </si>
  <si>
    <t>طول</t>
  </si>
  <si>
    <t>عرض</t>
  </si>
  <si>
    <t>ارتفاع</t>
  </si>
  <si>
    <t>عدد</t>
  </si>
  <si>
    <t>سانتی متر مکعب</t>
  </si>
  <si>
    <t>اطلاعات جعبه</t>
  </si>
  <si>
    <t>قیمت واحد (تومان)</t>
  </si>
  <si>
    <t>قیمت کل(تومان)</t>
  </si>
  <si>
    <t>قیمت در هر جعبه(تومان)</t>
  </si>
  <si>
    <t>تعداد</t>
  </si>
  <si>
    <t xml:space="preserve">سانتی متر </t>
  </si>
  <si>
    <t>سانتی متر</t>
  </si>
  <si>
    <t>رستوران ها در تهران</t>
  </si>
  <si>
    <t>مراکز خرید در تهران</t>
  </si>
  <si>
    <t>سرویس بهداشتی هر واحد</t>
  </si>
  <si>
    <t>تعداد وسیله مورد نیاز</t>
  </si>
  <si>
    <t>مساجد</t>
  </si>
  <si>
    <t>پارک ها و متروها</t>
  </si>
  <si>
    <t>6 ماه اول</t>
  </si>
  <si>
    <t>6 ماه دوم</t>
  </si>
  <si>
    <t>6 ماه سوم</t>
  </si>
  <si>
    <t>6 ماه چهارم</t>
  </si>
  <si>
    <t>6 ماه پنجم</t>
  </si>
  <si>
    <t>6 ماه ششم</t>
  </si>
  <si>
    <t>میزان تولید در 6 ماه</t>
  </si>
  <si>
    <t>میزان باقی مانده</t>
  </si>
  <si>
    <t>پوشش باقی مانده</t>
  </si>
  <si>
    <t>-</t>
  </si>
  <si>
    <t>جعبه (عدد)</t>
  </si>
  <si>
    <t>بزرگتر از3000</t>
  </si>
  <si>
    <t>سرمایه مواد اولیه</t>
  </si>
  <si>
    <t>ضریب</t>
  </si>
  <si>
    <t>مقدار در هر محصول (گرم یا عدد)</t>
  </si>
  <si>
    <t xml:space="preserve">مجموع </t>
  </si>
  <si>
    <t xml:space="preserve"> اجاره کارگاه (به همراه آب و برق و نگهبان)</t>
  </si>
  <si>
    <t>آلیاژ برنج</t>
  </si>
  <si>
    <t xml:space="preserve">رنگ </t>
  </si>
  <si>
    <t>هزینه ی تولید محصول</t>
  </si>
  <si>
    <t>بودجه تبلیغات</t>
  </si>
  <si>
    <t>حمل و نقل کالا</t>
  </si>
  <si>
    <t>اجاره دفتر و انبار</t>
  </si>
  <si>
    <t>حقوق کارمند (اداری و بازاریابی)</t>
  </si>
  <si>
    <t>هزینه تولید در هر دستگاه</t>
  </si>
  <si>
    <t>هزینه ی سرباری در هر دستگاه</t>
  </si>
  <si>
    <t>هزینه ی سرباری هر دستگاه</t>
  </si>
  <si>
    <t>سرمایه (قیمت دستگاه ها)</t>
  </si>
  <si>
    <t>سرویس بهداشتی بین راهی</t>
  </si>
  <si>
    <t>مجتمع های بین راهی</t>
  </si>
  <si>
    <t>مساجد بین راهی</t>
  </si>
  <si>
    <t>رستوران های بین راهی</t>
  </si>
  <si>
    <t>داخل تهران</t>
  </si>
  <si>
    <t>خارج تهران</t>
  </si>
  <si>
    <t>6 ماه هفتم</t>
  </si>
  <si>
    <t>6 ماه هشتم</t>
  </si>
  <si>
    <t>30 ماه</t>
  </si>
  <si>
    <t>18 ماه</t>
  </si>
  <si>
    <t>میزان تولید در ماه (میانگین)</t>
  </si>
  <si>
    <t>میزان تولید روزانه (میانگین)</t>
  </si>
  <si>
    <t>در پایان 4 سال</t>
  </si>
  <si>
    <t>1017 نقطه سر به سر</t>
  </si>
  <si>
    <t>سرمایه ی مورد نیاز</t>
  </si>
  <si>
    <t>تعداد کارمند مورد نیاز</t>
  </si>
  <si>
    <t>تعداد کارگر مورد نیاز</t>
  </si>
  <si>
    <t>درآمد(تومان)</t>
  </si>
  <si>
    <t>هزینه ها(تومان)</t>
  </si>
  <si>
    <t>سود یا زیان(تومان)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</si>
</sst>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alezar"/>
    </font>
    <font>
      <sz val="16"/>
      <color theme="1"/>
      <name val="Lalezar"/>
    </font>
    <font>
      <sz val="12"/>
      <color theme="1"/>
      <name val="Lalezar"/>
    </font>
    <font>
      <sz val="18"/>
      <color theme="1"/>
      <name val="Laleza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2" fillId="4" borderId="1" xfId="0" applyFont="1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0" fontId="2" fillId="0" borderId="0" xfId="0" applyFont="1" applyAlignment="1">
      <alignment readingOrder="2"/>
    </xf>
    <xf numFmtId="164" fontId="2" fillId="0" borderId="0" xfId="0" applyNumberFormat="1" applyFont="1"/>
    <xf numFmtId="0" fontId="2" fillId="5" borderId="1" xfId="0" applyFont="1" applyFill="1" applyBorder="1"/>
    <xf numFmtId="0" fontId="2" fillId="4" borderId="1" xfId="0" applyFont="1" applyFill="1" applyBorder="1" applyAlignment="1">
      <alignment readingOrder="2"/>
    </xf>
    <xf numFmtId="164" fontId="2" fillId="4" borderId="1" xfId="0" applyNumberFormat="1" applyFont="1" applyFill="1" applyBorder="1"/>
    <xf numFmtId="9" fontId="2" fillId="4" borderId="1" xfId="2" applyFont="1" applyFill="1" applyBorder="1"/>
    <xf numFmtId="164" fontId="2" fillId="4" borderId="1" xfId="1" applyNumberFormat="1" applyFont="1" applyFill="1" applyBorder="1"/>
    <xf numFmtId="0" fontId="2" fillId="5" borderId="2" xfId="0" applyFont="1" applyFill="1" applyBorder="1"/>
    <xf numFmtId="164" fontId="2" fillId="5" borderId="2" xfId="1" applyNumberFormat="1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0" xfId="0" applyFont="1" applyFill="1"/>
    <xf numFmtId="164" fontId="2" fillId="10" borderId="1" xfId="1" applyNumberFormat="1" applyFont="1" applyFill="1" applyBorder="1"/>
    <xf numFmtId="0" fontId="2" fillId="4" borderId="3" xfId="0" applyFont="1" applyFill="1" applyBorder="1"/>
    <xf numFmtId="0" fontId="2" fillId="11" borderId="0" xfId="0" applyFont="1" applyFill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2" borderId="1" xfId="0" applyFont="1" applyFill="1" applyBorder="1"/>
    <xf numFmtId="0" fontId="2" fillId="13" borderId="1" xfId="0" applyFont="1" applyFill="1" applyBorder="1"/>
    <xf numFmtId="164" fontId="2" fillId="13" borderId="1" xfId="1" applyNumberFormat="1" applyFont="1" applyFill="1" applyBorder="1" applyAlignment="1">
      <alignment horizontal="center" vertical="center"/>
    </xf>
    <xf numFmtId="0" fontId="2" fillId="14" borderId="1" xfId="0" applyFont="1" applyFill="1" applyBorder="1"/>
    <xf numFmtId="164" fontId="2" fillId="14" borderId="1" xfId="1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164" fontId="2" fillId="10" borderId="1" xfId="1" applyNumberFormat="1" applyFont="1" applyFill="1" applyBorder="1" applyAlignment="1">
      <alignment horizontal="center"/>
    </xf>
    <xf numFmtId="164" fontId="2" fillId="10" borderId="1" xfId="0" applyNumberFormat="1" applyFont="1" applyFill="1" applyBorder="1"/>
    <xf numFmtId="9" fontId="2" fillId="10" borderId="1" xfId="0" applyNumberFormat="1" applyFont="1" applyFill="1" applyBorder="1"/>
    <xf numFmtId="9" fontId="2" fillId="3" borderId="1" xfId="0" applyNumberFormat="1" applyFont="1" applyFill="1" applyBorder="1" applyAlignment="1">
      <alignment readingOrder="2"/>
    </xf>
    <xf numFmtId="164" fontId="2" fillId="3" borderId="1" xfId="0" applyNumberFormat="1" applyFont="1" applyFill="1" applyBorder="1"/>
    <xf numFmtId="9" fontId="2" fillId="3" borderId="1" xfId="0" applyNumberFormat="1" applyFont="1" applyFill="1" applyBorder="1"/>
    <xf numFmtId="164" fontId="2" fillId="7" borderId="1" xfId="1" applyNumberFormat="1" applyFont="1" applyFill="1" applyBorder="1" applyAlignment="1">
      <alignment horizontal="center"/>
    </xf>
    <xf numFmtId="164" fontId="2" fillId="7" borderId="1" xfId="0" applyNumberFormat="1" applyFont="1" applyFill="1" applyBorder="1"/>
    <xf numFmtId="1" fontId="2" fillId="0" borderId="0" xfId="0" applyNumberFormat="1" applyFont="1"/>
    <xf numFmtId="164" fontId="2" fillId="13" borderId="1" xfId="1" applyNumberFormat="1" applyFont="1" applyFill="1" applyBorder="1"/>
    <xf numFmtId="0" fontId="2" fillId="13" borderId="3" xfId="0" applyFont="1" applyFill="1" applyBorder="1"/>
    <xf numFmtId="164" fontId="2" fillId="13" borderId="1" xfId="0" applyNumberFormat="1" applyFont="1" applyFill="1" applyBorder="1"/>
    <xf numFmtId="10" fontId="2" fillId="13" borderId="1" xfId="2" applyNumberFormat="1" applyFont="1" applyFill="1" applyBorder="1"/>
    <xf numFmtId="0" fontId="2" fillId="11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/>
    </xf>
    <xf numFmtId="9" fontId="2" fillId="4" borderId="1" xfId="2" applyNumberFormat="1" applyFont="1" applyFill="1" applyBorder="1" applyAlignment="1">
      <alignment readingOrder="2"/>
    </xf>
    <xf numFmtId="0" fontId="2" fillId="2" borderId="1" xfId="0" applyFont="1" applyFill="1" applyBorder="1"/>
    <xf numFmtId="0" fontId="2" fillId="4" borderId="4" xfId="0" applyFont="1" applyFill="1" applyBorder="1"/>
    <xf numFmtId="0" fontId="2" fillId="9" borderId="0" xfId="0" applyFont="1" applyFill="1"/>
    <xf numFmtId="1" fontId="2" fillId="4" borderId="1" xfId="0" applyNumberFormat="1" applyFont="1" applyFill="1" applyBorder="1"/>
    <xf numFmtId="164" fontId="2" fillId="0" borderId="0" xfId="1" applyNumberFormat="1" applyFont="1"/>
    <xf numFmtId="43" fontId="2" fillId="0" borderId="0" xfId="0" applyNumberFormat="1" applyFont="1"/>
    <xf numFmtId="9" fontId="2" fillId="4" borderId="2" xfId="2" applyFont="1" applyFill="1" applyBorder="1"/>
    <xf numFmtId="0" fontId="2" fillId="4" borderId="2" xfId="0" applyFont="1" applyFill="1" applyBorder="1" applyAlignment="1">
      <alignment readingOrder="2"/>
    </xf>
    <xf numFmtId="164" fontId="2" fillId="4" borderId="2" xfId="0" applyNumberFormat="1" applyFont="1" applyFill="1" applyBorder="1"/>
    <xf numFmtId="164" fontId="2" fillId="4" borderId="2" xfId="1" applyNumberFormat="1" applyFont="1" applyFill="1" applyBorder="1"/>
    <xf numFmtId="9" fontId="2" fillId="4" borderId="4" xfId="2" applyFont="1" applyFill="1" applyBorder="1"/>
    <xf numFmtId="0" fontId="2" fillId="4" borderId="4" xfId="0" applyFont="1" applyFill="1" applyBorder="1" applyAlignment="1">
      <alignment readingOrder="2"/>
    </xf>
    <xf numFmtId="164" fontId="2" fillId="4" borderId="4" xfId="0" applyNumberFormat="1" applyFont="1" applyFill="1" applyBorder="1"/>
    <xf numFmtId="164" fontId="2" fillId="4" borderId="4" xfId="1" applyNumberFormat="1" applyFont="1" applyFill="1" applyBorder="1"/>
    <xf numFmtId="0" fontId="2" fillId="16" borderId="1" xfId="0" applyFont="1" applyFill="1" applyBorder="1"/>
    <xf numFmtId="164" fontId="2" fillId="16" borderId="1" xfId="0" applyNumberFormat="1" applyFont="1" applyFill="1" applyBorder="1"/>
    <xf numFmtId="164" fontId="2" fillId="2" borderId="2" xfId="1" applyNumberFormat="1" applyFont="1" applyFill="1" applyBorder="1"/>
    <xf numFmtId="0" fontId="2" fillId="17" borderId="1" xfId="0" applyFont="1" applyFill="1" applyBorder="1"/>
    <xf numFmtId="164" fontId="2" fillId="17" borderId="1" xfId="0" applyNumberFormat="1" applyFont="1" applyFill="1" applyBorder="1"/>
    <xf numFmtId="0" fontId="2" fillId="6" borderId="1" xfId="0" applyFont="1" applyFill="1" applyBorder="1"/>
    <xf numFmtId="164" fontId="2" fillId="6" borderId="1" xfId="0" applyNumberFormat="1" applyFont="1" applyFill="1" applyBorder="1"/>
    <xf numFmtId="0" fontId="2" fillId="18" borderId="1" xfId="0" applyFont="1" applyFill="1" applyBorder="1"/>
    <xf numFmtId="164" fontId="2" fillId="18" borderId="1" xfId="0" applyNumberFormat="1" applyFont="1" applyFill="1" applyBorder="1"/>
    <xf numFmtId="0" fontId="2" fillId="1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B4A9F-ECDA-47F1-B49F-8CF008B603DF}">
  <dimension ref="A1:S33"/>
  <sheetViews>
    <sheetView rightToLeft="1" tabSelected="1" topLeftCell="C15" zoomScale="85" zoomScaleNormal="85" workbookViewId="0">
      <selection activeCell="I30" sqref="I30"/>
    </sheetView>
  </sheetViews>
  <sheetFormatPr defaultRowHeight="18.75" x14ac:dyDescent="0.5"/>
  <cols>
    <col min="1" max="1" width="19.140625" style="1" customWidth="1"/>
    <col min="2" max="2" width="18.28515625" style="1" bestFit="1" customWidth="1"/>
    <col min="3" max="3" width="29.7109375" style="1" customWidth="1"/>
    <col min="4" max="4" width="24.7109375" style="1" bestFit="1" customWidth="1"/>
    <col min="5" max="5" width="24.28515625" style="1" customWidth="1"/>
    <col min="6" max="6" width="23" style="1" customWidth="1"/>
    <col min="7" max="7" width="22.28515625" style="1" customWidth="1"/>
    <col min="8" max="8" width="15.5703125" style="1" bestFit="1" customWidth="1"/>
    <col min="9" max="9" width="13.42578125" style="1" bestFit="1" customWidth="1"/>
    <col min="10" max="10" width="19.28515625" style="1" customWidth="1"/>
    <col min="11" max="11" width="14.7109375" style="1" bestFit="1" customWidth="1"/>
    <col min="12" max="12" width="19" style="1" customWidth="1"/>
    <col min="13" max="13" width="17.42578125" style="1" customWidth="1"/>
    <col min="14" max="14" width="21.42578125" style="1" bestFit="1" customWidth="1"/>
    <col min="15" max="15" width="21.5703125" style="1" customWidth="1"/>
    <col min="16" max="16" width="19" style="1" customWidth="1"/>
    <col min="17" max="17" width="17.42578125" style="1" customWidth="1"/>
    <col min="18" max="18" width="20.7109375" style="1" bestFit="1" customWidth="1"/>
    <col min="19" max="19" width="18.85546875" style="1" bestFit="1" customWidth="1"/>
    <col min="20" max="16384" width="9.140625" style="1"/>
  </cols>
  <sheetData>
    <row r="1" spans="1:17" ht="37.5" customHeight="1" x14ac:dyDescent="0.5">
      <c r="B1" s="72" t="s">
        <v>49</v>
      </c>
      <c r="C1" s="72"/>
      <c r="D1" s="72" t="s">
        <v>26</v>
      </c>
      <c r="E1" s="72"/>
      <c r="F1" s="72"/>
    </row>
    <row r="2" spans="1:17" x14ac:dyDescent="0.5">
      <c r="B2" s="14">
        <v>1000</v>
      </c>
      <c r="C2" s="15">
        <v>2041</v>
      </c>
      <c r="D2" s="14" t="s">
        <v>20</v>
      </c>
      <c r="E2" s="14">
        <f>E5*E4*E3</f>
        <v>300</v>
      </c>
      <c r="F2" s="14" t="s">
        <v>25</v>
      </c>
    </row>
    <row r="3" spans="1:17" x14ac:dyDescent="0.5">
      <c r="B3" s="14">
        <v>2000</v>
      </c>
      <c r="C3" s="15">
        <v>1903</v>
      </c>
      <c r="D3" s="16" t="s">
        <v>23</v>
      </c>
      <c r="E3" s="16">
        <v>5</v>
      </c>
      <c r="F3" s="16" t="s">
        <v>31</v>
      </c>
    </row>
    <row r="4" spans="1:17" x14ac:dyDescent="0.5">
      <c r="B4" s="14">
        <v>3000</v>
      </c>
      <c r="C4" s="15">
        <v>1788</v>
      </c>
      <c r="D4" s="14" t="s">
        <v>22</v>
      </c>
      <c r="E4" s="14">
        <v>6</v>
      </c>
      <c r="F4" s="14" t="s">
        <v>32</v>
      </c>
    </row>
    <row r="5" spans="1:17" x14ac:dyDescent="0.5">
      <c r="B5" s="14" t="s">
        <v>50</v>
      </c>
      <c r="C5" s="15">
        <v>1526</v>
      </c>
      <c r="D5" s="16" t="s">
        <v>21</v>
      </c>
      <c r="E5" s="16">
        <v>10</v>
      </c>
      <c r="F5" s="16" t="s">
        <v>32</v>
      </c>
    </row>
    <row r="7" spans="1:17" x14ac:dyDescent="0.5">
      <c r="A7" s="23" t="s">
        <v>0</v>
      </c>
      <c r="B7" s="23" t="s">
        <v>3</v>
      </c>
      <c r="C7" s="23" t="s">
        <v>27</v>
      </c>
      <c r="D7" s="23" t="s">
        <v>53</v>
      </c>
      <c r="E7" s="23" t="s">
        <v>28</v>
      </c>
      <c r="F7" s="23" t="s">
        <v>29</v>
      </c>
    </row>
    <row r="8" spans="1:17" x14ac:dyDescent="0.5">
      <c r="A8" s="26" t="s">
        <v>1</v>
      </c>
      <c r="B8" s="26" t="s">
        <v>15</v>
      </c>
      <c r="C8" s="27">
        <v>11000</v>
      </c>
      <c r="D8" s="27">
        <v>370</v>
      </c>
      <c r="E8" s="27">
        <f>F8*A16</f>
        <v>3850220</v>
      </c>
      <c r="F8" s="27">
        <f>(D8/1000)*C8</f>
        <v>4070</v>
      </c>
    </row>
    <row r="9" spans="1:17" ht="18.75" customHeight="1" x14ac:dyDescent="0.5">
      <c r="A9" s="24" t="s">
        <v>56</v>
      </c>
      <c r="B9" s="24" t="s">
        <v>15</v>
      </c>
      <c r="C9" s="25">
        <v>15200</v>
      </c>
      <c r="D9" s="25">
        <v>80</v>
      </c>
      <c r="E9" s="25">
        <f>F9*A16</f>
        <v>1150336</v>
      </c>
      <c r="F9" s="25">
        <f>(D9/1000)*C9</f>
        <v>1216</v>
      </c>
    </row>
    <row r="10" spans="1:17" ht="18.75" customHeight="1" x14ac:dyDescent="0.5">
      <c r="A10" s="26" t="s">
        <v>2</v>
      </c>
      <c r="B10" s="26" t="s">
        <v>24</v>
      </c>
      <c r="C10" s="27">
        <v>4500</v>
      </c>
      <c r="D10" s="27">
        <v>1</v>
      </c>
      <c r="E10" s="27">
        <f>C10*A16</f>
        <v>4257000</v>
      </c>
      <c r="F10" s="27">
        <f>C10</f>
        <v>4500</v>
      </c>
    </row>
    <row r="11" spans="1:17" ht="25.5" customHeight="1" x14ac:dyDescent="0.5">
      <c r="A11" s="24" t="s">
        <v>8</v>
      </c>
      <c r="B11" s="24" t="s">
        <v>24</v>
      </c>
      <c r="C11" s="25">
        <v>6000</v>
      </c>
      <c r="D11" s="25">
        <v>1</v>
      </c>
      <c r="E11" s="25">
        <f>C11*A16</f>
        <v>5676000</v>
      </c>
      <c r="F11" s="25">
        <f>C11</f>
        <v>6000</v>
      </c>
    </row>
    <row r="12" spans="1:17" ht="18.75" customHeight="1" x14ac:dyDescent="0.5">
      <c r="A12" s="26" t="s">
        <v>57</v>
      </c>
      <c r="B12" s="26" t="s">
        <v>15</v>
      </c>
      <c r="C12" s="27">
        <v>14000</v>
      </c>
      <c r="D12" s="27">
        <v>30</v>
      </c>
      <c r="E12" s="27">
        <f>(D12/1000)*C12*A16</f>
        <v>397320</v>
      </c>
      <c r="F12" s="27">
        <f>C12*(30/1000)</f>
        <v>420</v>
      </c>
      <c r="J12" s="68" t="s">
        <v>71</v>
      </c>
      <c r="K12" s="68"/>
      <c r="L12" s="68"/>
      <c r="M12" s="68"/>
      <c r="N12" s="68" t="s">
        <v>72</v>
      </c>
      <c r="O12" s="68"/>
      <c r="P12" s="68"/>
      <c r="Q12" s="68"/>
    </row>
    <row r="13" spans="1:17" ht="18.75" customHeight="1" x14ac:dyDescent="0.5">
      <c r="A13" s="24" t="s">
        <v>7</v>
      </c>
      <c r="B13" s="24" t="s">
        <v>24</v>
      </c>
      <c r="C13" s="25">
        <f>IF(A16&lt;=B2,C2,IF(A16&lt;=B3,C3,IF(A16&lt;=B4,C4,C5)))</f>
        <v>2041</v>
      </c>
      <c r="D13" s="25">
        <f>ROUNDUP(A16/1000,0)</f>
        <v>1</v>
      </c>
      <c r="E13" s="25">
        <f>C13*A16</f>
        <v>1930786</v>
      </c>
      <c r="F13" s="25">
        <f>C13</f>
        <v>2041</v>
      </c>
      <c r="H13" s="6"/>
      <c r="J13" s="7" t="s">
        <v>30</v>
      </c>
      <c r="K13" s="7" t="s">
        <v>30</v>
      </c>
      <c r="L13" s="7" t="s">
        <v>35</v>
      </c>
      <c r="M13" s="7" t="s">
        <v>36</v>
      </c>
      <c r="N13" s="45" t="s">
        <v>30</v>
      </c>
      <c r="O13" s="45" t="s">
        <v>36</v>
      </c>
      <c r="P13" s="45" t="s">
        <v>35</v>
      </c>
      <c r="Q13" s="45" t="s">
        <v>36</v>
      </c>
    </row>
    <row r="14" spans="1:17" ht="25.5" customHeight="1" x14ac:dyDescent="0.5">
      <c r="A14" s="26" t="s">
        <v>18</v>
      </c>
      <c r="B14" s="28" t="s">
        <v>48</v>
      </c>
      <c r="C14" s="27" t="s">
        <v>48</v>
      </c>
      <c r="D14" s="27" t="s">
        <v>48</v>
      </c>
      <c r="E14" s="27">
        <f>SUM(E8:E13)</f>
        <v>17261662</v>
      </c>
      <c r="F14" s="27">
        <f>F13+F12+F11+F10+F9+F8</f>
        <v>18247</v>
      </c>
      <c r="G14" s="49"/>
      <c r="H14" s="49">
        <f>H15*M20</f>
        <v>176114174.18404981</v>
      </c>
      <c r="I14" s="6"/>
      <c r="J14" s="7" t="s">
        <v>33</v>
      </c>
      <c r="K14" s="7">
        <v>20000</v>
      </c>
      <c r="L14" s="7">
        <v>2</v>
      </c>
      <c r="M14" s="7">
        <f>L14*K14</f>
        <v>40000</v>
      </c>
      <c r="N14" s="45" t="s">
        <v>67</v>
      </c>
      <c r="O14" s="45">
        <v>2000</v>
      </c>
      <c r="P14" s="45">
        <v>12</v>
      </c>
      <c r="Q14" s="45">
        <f>P14*O14</f>
        <v>24000</v>
      </c>
    </row>
    <row r="15" spans="1:17" x14ac:dyDescent="0.5">
      <c r="A15" s="37"/>
      <c r="H15" s="6">
        <f>SUM(H16:H17)</f>
        <v>31014.206953253466</v>
      </c>
      <c r="J15" s="7" t="s">
        <v>34</v>
      </c>
      <c r="K15" s="7">
        <v>70</v>
      </c>
      <c r="L15" s="7">
        <v>15</v>
      </c>
      <c r="M15" s="7">
        <f>L15*K15</f>
        <v>1050</v>
      </c>
      <c r="N15" s="45" t="s">
        <v>68</v>
      </c>
      <c r="O15" s="45">
        <v>740</v>
      </c>
      <c r="P15" s="45">
        <v>15</v>
      </c>
      <c r="Q15" s="45">
        <f t="shared" ref="Q15:Q17" si="0">P15*O15</f>
        <v>11100</v>
      </c>
    </row>
    <row r="16" spans="1:17" ht="21" customHeight="1" x14ac:dyDescent="0.5">
      <c r="A16" s="70">
        <v>946</v>
      </c>
      <c r="B16" s="71" t="s">
        <v>16</v>
      </c>
      <c r="C16" s="22" t="s">
        <v>19</v>
      </c>
      <c r="D16" s="18" t="s">
        <v>17</v>
      </c>
      <c r="E16" s="21" t="s">
        <v>52</v>
      </c>
      <c r="F16" s="22" t="s">
        <v>17</v>
      </c>
      <c r="G16" s="24" t="s">
        <v>9</v>
      </c>
      <c r="H16" s="38">
        <f>sum</f>
        <v>18247</v>
      </c>
      <c r="J16" s="7" t="s">
        <v>37</v>
      </c>
      <c r="K16" s="7">
        <v>2500</v>
      </c>
      <c r="L16" s="7">
        <v>10</v>
      </c>
      <c r="M16" s="7">
        <f>L16*K16</f>
        <v>25000</v>
      </c>
      <c r="N16" s="45" t="s">
        <v>69</v>
      </c>
      <c r="O16" s="45">
        <v>620</v>
      </c>
      <c r="P16" s="45">
        <v>10</v>
      </c>
      <c r="Q16" s="45">
        <f t="shared" si="0"/>
        <v>6200</v>
      </c>
    </row>
    <row r="17" spans="1:19" ht="20.25" customHeight="1" x14ac:dyDescent="0.5">
      <c r="A17" s="70"/>
      <c r="B17" s="71"/>
      <c r="C17" s="3" t="s">
        <v>5</v>
      </c>
      <c r="D17" s="4">
        <f>D18/(15*12)</f>
        <v>2388888.888888889</v>
      </c>
      <c r="E17" s="4">
        <v>1</v>
      </c>
      <c r="F17" s="4">
        <f>E17*D17</f>
        <v>2388888.888888889</v>
      </c>
      <c r="G17" s="39" t="s">
        <v>58</v>
      </c>
      <c r="H17" s="40">
        <f>F24</f>
        <v>12767.206953253464</v>
      </c>
      <c r="J17" s="7" t="s">
        <v>38</v>
      </c>
      <c r="K17" s="7">
        <v>1</v>
      </c>
      <c r="L17" s="7">
        <v>3200</v>
      </c>
      <c r="M17" s="7">
        <f>L17*K17</f>
        <v>3200</v>
      </c>
      <c r="N17" s="45" t="s">
        <v>70</v>
      </c>
      <c r="O17" s="45">
        <v>2500</v>
      </c>
      <c r="P17" s="45">
        <v>2</v>
      </c>
      <c r="Q17" s="45">
        <f t="shared" si="0"/>
        <v>5000</v>
      </c>
    </row>
    <row r="18" spans="1:19" x14ac:dyDescent="0.5">
      <c r="A18" s="5" t="s">
        <v>80</v>
      </c>
      <c r="C18" s="17" t="s">
        <v>66</v>
      </c>
      <c r="D18" s="30">
        <f>80000000+350000000</f>
        <v>430000000</v>
      </c>
      <c r="E18" s="31">
        <v>0.02</v>
      </c>
      <c r="F18" s="19">
        <f t="shared" ref="F18:F21" si="1">E18*D18</f>
        <v>8600000</v>
      </c>
      <c r="G18" s="24" t="s">
        <v>65</v>
      </c>
      <c r="H18" s="40">
        <f>F33</f>
        <v>48356.483340380553</v>
      </c>
      <c r="J18" s="7" t="s">
        <v>18</v>
      </c>
      <c r="K18" s="12"/>
      <c r="L18" s="12"/>
      <c r="M18" s="13">
        <f>M17+M16+M15+M14</f>
        <v>69250</v>
      </c>
      <c r="N18" s="45" t="s">
        <v>18</v>
      </c>
      <c r="O18" s="45"/>
      <c r="P18" s="45"/>
      <c r="Q18" s="61">
        <f>SUM(Q14:Q17)</f>
        <v>46300</v>
      </c>
      <c r="R18" s="50"/>
    </row>
    <row r="19" spans="1:19" x14ac:dyDescent="0.5">
      <c r="C19" s="3" t="s">
        <v>6</v>
      </c>
      <c r="D19" s="4">
        <v>400000</v>
      </c>
      <c r="E19" s="4">
        <v>1</v>
      </c>
      <c r="F19" s="4">
        <f t="shared" si="1"/>
        <v>400000</v>
      </c>
      <c r="G19" s="39" t="s">
        <v>10</v>
      </c>
      <c r="H19" s="40">
        <f>SUM(H16:H18)</f>
        <v>79370.690293634019</v>
      </c>
      <c r="J19" s="47"/>
      <c r="K19" s="2" t="s">
        <v>47</v>
      </c>
      <c r="L19" s="2"/>
      <c r="M19" s="2" t="s">
        <v>45</v>
      </c>
      <c r="N19" s="2" t="s">
        <v>77</v>
      </c>
      <c r="O19" s="2" t="s">
        <v>78</v>
      </c>
      <c r="P19" s="46" t="s">
        <v>46</v>
      </c>
      <c r="Q19" s="24" t="s">
        <v>84</v>
      </c>
      <c r="R19" s="24" t="s">
        <v>85</v>
      </c>
      <c r="S19" s="24" t="s">
        <v>86</v>
      </c>
    </row>
    <row r="20" spans="1:19" x14ac:dyDescent="0.5">
      <c r="C20" s="17" t="s">
        <v>55</v>
      </c>
      <c r="D20" s="19">
        <v>40000000</v>
      </c>
      <c r="E20" s="19">
        <v>1</v>
      </c>
      <c r="F20" s="19">
        <f t="shared" si="1"/>
        <v>40000000</v>
      </c>
      <c r="G20" s="20" t="s">
        <v>4</v>
      </c>
      <c r="H20" s="11">
        <v>75000</v>
      </c>
      <c r="J20" s="69" t="s">
        <v>71</v>
      </c>
      <c r="K20" s="44">
        <v>8.2000000000000003E-2</v>
      </c>
      <c r="L20" s="8" t="s">
        <v>39</v>
      </c>
      <c r="M20" s="9">
        <f>M18*K20</f>
        <v>5678.5</v>
      </c>
      <c r="N20" s="11">
        <f>M20/6</f>
        <v>946.41666666666663</v>
      </c>
      <c r="O20" s="9">
        <f>N20/30</f>
        <v>31.547222222222221</v>
      </c>
      <c r="P20" s="9">
        <f>M18-M20</f>
        <v>63571.5</v>
      </c>
      <c r="Q20" s="40">
        <f t="shared" ref="Q20:Q29" si="2">M20*75000</f>
        <v>425887500</v>
      </c>
      <c r="R20" s="40">
        <f>79371*M20</f>
        <v>450708223.5</v>
      </c>
      <c r="S20" s="38">
        <f t="shared" ref="S20:S28" si="3">Q20-R20</f>
        <v>-24820723.5</v>
      </c>
    </row>
    <row r="21" spans="1:19" x14ac:dyDescent="0.5">
      <c r="C21" s="3" t="s">
        <v>14</v>
      </c>
      <c r="D21" s="4">
        <v>4500000</v>
      </c>
      <c r="E21" s="4">
        <f>ROUNDUP(A16/(8*4*26),0)</f>
        <v>2</v>
      </c>
      <c r="F21" s="4">
        <f t="shared" si="1"/>
        <v>9000000</v>
      </c>
      <c r="G21" s="39" t="s">
        <v>11</v>
      </c>
      <c r="H21" s="41">
        <f>H23/H20</f>
        <v>-5.8275870581786925E-2</v>
      </c>
      <c r="J21" s="69"/>
      <c r="K21" s="10">
        <v>0.12</v>
      </c>
      <c r="L21" s="8" t="s">
        <v>40</v>
      </c>
      <c r="M21" s="9">
        <f>P20*K21</f>
        <v>7628.58</v>
      </c>
      <c r="N21" s="11">
        <f>M21/6</f>
        <v>1271.43</v>
      </c>
      <c r="O21" s="9">
        <f t="shared" ref="O21:O24" si="4">N21/30</f>
        <v>42.381</v>
      </c>
      <c r="P21" s="9">
        <f>P20-M21</f>
        <v>55942.92</v>
      </c>
      <c r="Q21" s="40">
        <f t="shared" si="2"/>
        <v>572143500</v>
      </c>
      <c r="R21" s="38">
        <f>(18109+9503+36082)*M21</f>
        <v>485894774.51999998</v>
      </c>
      <c r="S21" s="40">
        <f t="shared" si="3"/>
        <v>86248725.480000019</v>
      </c>
    </row>
    <row r="22" spans="1:19" x14ac:dyDescent="0.5">
      <c r="C22" s="17" t="s">
        <v>18</v>
      </c>
      <c r="D22" s="29" t="s">
        <v>48</v>
      </c>
      <c r="E22" s="29" t="s">
        <v>48</v>
      </c>
      <c r="F22" s="19">
        <f>SUM(F17:F21)</f>
        <v>60388888.888888888</v>
      </c>
      <c r="G22" s="39" t="s">
        <v>12</v>
      </c>
      <c r="H22" s="41">
        <f>H23/H19</f>
        <v>-5.5066804603368477E-2</v>
      </c>
      <c r="J22" s="69"/>
      <c r="K22" s="10">
        <v>0.19</v>
      </c>
      <c r="L22" s="8" t="s">
        <v>41</v>
      </c>
      <c r="M22" s="9">
        <f>K22*P21</f>
        <v>10629.1548</v>
      </c>
      <c r="N22" s="11">
        <f t="shared" ref="N22:N24" si="5">M22/6</f>
        <v>1771.5258000000001</v>
      </c>
      <c r="O22" s="9">
        <f t="shared" si="4"/>
        <v>59.050860000000007</v>
      </c>
      <c r="P22" s="9">
        <f>P21-M22</f>
        <v>45313.765199999994</v>
      </c>
      <c r="Q22" s="40">
        <f t="shared" si="2"/>
        <v>797186610</v>
      </c>
      <c r="R22" s="40">
        <f>53955*M22</f>
        <v>573496047.23399997</v>
      </c>
      <c r="S22" s="40">
        <f t="shared" si="3"/>
        <v>223690562.76600003</v>
      </c>
    </row>
    <row r="23" spans="1:19" x14ac:dyDescent="0.5">
      <c r="C23" s="32" t="s">
        <v>58</v>
      </c>
      <c r="D23" s="33">
        <f>F22</f>
        <v>60388888.888888888</v>
      </c>
      <c r="E23" s="34">
        <v>0.2</v>
      </c>
      <c r="F23" s="33">
        <f>E23*D23</f>
        <v>12077777.777777778</v>
      </c>
      <c r="G23" s="20" t="s">
        <v>13</v>
      </c>
      <c r="H23" s="48">
        <f>H20-H19</f>
        <v>-4370.6902936340193</v>
      </c>
      <c r="I23" s="6"/>
      <c r="J23" s="69"/>
      <c r="K23" s="10">
        <v>0.28000000000000003</v>
      </c>
      <c r="L23" s="8" t="s">
        <v>42</v>
      </c>
      <c r="M23" s="9">
        <f>K23*P22</f>
        <v>12687.854256000001</v>
      </c>
      <c r="N23" s="11">
        <f t="shared" si="5"/>
        <v>2114.6423760000002</v>
      </c>
      <c r="O23" s="9">
        <f t="shared" si="4"/>
        <v>70.488079200000001</v>
      </c>
      <c r="P23" s="9">
        <f>P22-M23</f>
        <v>32625.910943999996</v>
      </c>
      <c r="Q23" s="40">
        <f t="shared" si="2"/>
        <v>951589069.20000005</v>
      </c>
      <c r="R23" s="40">
        <f>48083*M23</f>
        <v>610070096.19124806</v>
      </c>
      <c r="S23" s="40">
        <f t="shared" si="3"/>
        <v>341518973.00875199</v>
      </c>
    </row>
    <row r="24" spans="1:19" x14ac:dyDescent="0.5">
      <c r="C24" s="14" t="s">
        <v>63</v>
      </c>
      <c r="D24" s="35" t="s">
        <v>48</v>
      </c>
      <c r="E24" s="35" t="s">
        <v>48</v>
      </c>
      <c r="F24" s="36">
        <f>F23/A16</f>
        <v>12767.206953253464</v>
      </c>
      <c r="J24" s="69"/>
      <c r="K24" s="51">
        <v>0.4</v>
      </c>
      <c r="L24" s="52" t="s">
        <v>43</v>
      </c>
      <c r="M24" s="53">
        <f>K24*P23</f>
        <v>13050.364377599999</v>
      </c>
      <c r="N24" s="54">
        <f t="shared" si="5"/>
        <v>2175.0607295999998</v>
      </c>
      <c r="O24" s="53">
        <f t="shared" si="4"/>
        <v>72.50202431999999</v>
      </c>
      <c r="P24" s="53">
        <f>P23-M24</f>
        <v>19575.546566399997</v>
      </c>
      <c r="Q24" s="40">
        <f t="shared" si="2"/>
        <v>978777328.31999993</v>
      </c>
      <c r="R24" s="40">
        <f>28284*M24</f>
        <v>369116506.05603838</v>
      </c>
      <c r="S24" s="40">
        <f t="shared" si="3"/>
        <v>609660822.26396155</v>
      </c>
    </row>
    <row r="25" spans="1:19" x14ac:dyDescent="0.5">
      <c r="J25" s="47"/>
      <c r="K25" s="59" t="s">
        <v>54</v>
      </c>
      <c r="L25" s="59" t="s">
        <v>75</v>
      </c>
      <c r="M25" s="60">
        <f>SUM(M20:M24)</f>
        <v>49674.453433599992</v>
      </c>
      <c r="N25" s="59"/>
      <c r="O25" s="59"/>
      <c r="P25" s="60"/>
      <c r="Q25" s="60">
        <f t="shared" si="2"/>
        <v>3725584007.5199995</v>
      </c>
      <c r="R25" s="60">
        <f>SUM(R20:R24)</f>
        <v>2489285647.5012865</v>
      </c>
      <c r="S25" s="60">
        <f t="shared" si="3"/>
        <v>1236298360.018713</v>
      </c>
    </row>
    <row r="26" spans="1:19" x14ac:dyDescent="0.5">
      <c r="C26" s="42" t="s">
        <v>19</v>
      </c>
      <c r="D26" s="18" t="s">
        <v>17</v>
      </c>
      <c r="E26" s="42" t="s">
        <v>52</v>
      </c>
      <c r="F26" s="42" t="s">
        <v>17</v>
      </c>
      <c r="J26" s="69" t="s">
        <v>72</v>
      </c>
      <c r="K26" s="55">
        <v>0.3</v>
      </c>
      <c r="L26" s="56" t="s">
        <v>44</v>
      </c>
      <c r="M26" s="57">
        <f>K26*Q18</f>
        <v>13890</v>
      </c>
      <c r="N26" s="58">
        <f>M26/6</f>
        <v>2315</v>
      </c>
      <c r="O26" s="57">
        <f>N26/30</f>
        <v>77.166666666666671</v>
      </c>
      <c r="P26" s="57">
        <f>Q18-M26</f>
        <v>32410</v>
      </c>
      <c r="Q26" s="40">
        <f t="shared" si="2"/>
        <v>1041750000</v>
      </c>
      <c r="R26" s="40">
        <f>28056*M26</f>
        <v>389697840</v>
      </c>
      <c r="S26" s="40">
        <f t="shared" si="3"/>
        <v>652052160</v>
      </c>
    </row>
    <row r="27" spans="1:19" x14ac:dyDescent="0.5">
      <c r="C27" s="17" t="s">
        <v>59</v>
      </c>
      <c r="D27" s="19">
        <v>1000000</v>
      </c>
      <c r="E27" s="19">
        <v>1</v>
      </c>
      <c r="F27" s="19">
        <f>E27*D27</f>
        <v>1000000</v>
      </c>
      <c r="J27" s="69"/>
      <c r="K27" s="10">
        <v>0.45</v>
      </c>
      <c r="L27" s="8" t="s">
        <v>73</v>
      </c>
      <c r="M27" s="9">
        <f>K27*P26</f>
        <v>14584.5</v>
      </c>
      <c r="N27" s="11">
        <f t="shared" ref="N27" si="6">M27/6</f>
        <v>2430.75</v>
      </c>
      <c r="O27" s="9">
        <f t="shared" ref="O27:O28" si="7">N27/30</f>
        <v>81.025000000000006</v>
      </c>
      <c r="P27" s="9">
        <f>P26-M27</f>
        <v>17825.5</v>
      </c>
      <c r="Q27" s="40">
        <f t="shared" si="2"/>
        <v>1093837500</v>
      </c>
      <c r="R27" s="40">
        <f>M27*27951</f>
        <v>407651359.5</v>
      </c>
      <c r="S27" s="40">
        <f t="shared" si="3"/>
        <v>686186140.5</v>
      </c>
    </row>
    <row r="28" spans="1:19" x14ac:dyDescent="0.5">
      <c r="C28" s="3" t="s">
        <v>61</v>
      </c>
      <c r="D28" s="4">
        <v>35000000</v>
      </c>
      <c r="E28" s="4">
        <v>1</v>
      </c>
      <c r="F28" s="4">
        <f t="shared" ref="F28:F31" si="8">E28*D28</f>
        <v>35000000</v>
      </c>
      <c r="J28" s="69"/>
      <c r="K28" s="10">
        <v>0.85</v>
      </c>
      <c r="L28" s="8" t="s">
        <v>74</v>
      </c>
      <c r="M28" s="9">
        <f>K28*P27</f>
        <v>15151.674999999999</v>
      </c>
      <c r="N28" s="11">
        <f>M28/6</f>
        <v>2525.2791666666667</v>
      </c>
      <c r="O28" s="9">
        <f t="shared" si="7"/>
        <v>84.175972222222228</v>
      </c>
      <c r="P28" s="9">
        <f>P27-M28</f>
        <v>2673.8250000000007</v>
      </c>
      <c r="Q28" s="40">
        <f t="shared" si="2"/>
        <v>1136375625</v>
      </c>
      <c r="R28" s="40">
        <f>27939*M28</f>
        <v>423322647.82499999</v>
      </c>
      <c r="S28" s="40">
        <f t="shared" si="3"/>
        <v>713052977.17499995</v>
      </c>
    </row>
    <row r="29" spans="1:19" x14ac:dyDescent="0.5">
      <c r="C29" s="17" t="s">
        <v>51</v>
      </c>
      <c r="D29" s="30">
        <f>E14</f>
        <v>17261662</v>
      </c>
      <c r="E29" s="31">
        <v>0.02</v>
      </c>
      <c r="F29" s="19">
        <f t="shared" si="8"/>
        <v>345233.24</v>
      </c>
      <c r="K29" s="62" t="s">
        <v>54</v>
      </c>
      <c r="L29" s="62" t="s">
        <v>76</v>
      </c>
      <c r="M29" s="63">
        <f>SUM(M26:M28)</f>
        <v>43626.175000000003</v>
      </c>
      <c r="N29" s="62"/>
      <c r="O29" s="62"/>
      <c r="P29" s="62"/>
      <c r="Q29" s="63">
        <f t="shared" si="2"/>
        <v>3271963125</v>
      </c>
      <c r="R29" s="63">
        <f>SUM(R26:R28)</f>
        <v>1220671847.325</v>
      </c>
      <c r="S29" s="63">
        <f>SUM(S26:S28)</f>
        <v>2051291277.675</v>
      </c>
    </row>
    <row r="30" spans="1:19" x14ac:dyDescent="0.5">
      <c r="C30" s="3" t="s">
        <v>60</v>
      </c>
      <c r="D30" s="4">
        <v>400000</v>
      </c>
      <c r="E30" s="4">
        <v>1</v>
      </c>
      <c r="F30" s="4">
        <f t="shared" si="8"/>
        <v>400000</v>
      </c>
      <c r="M30" s="6"/>
      <c r="N30" s="6"/>
      <c r="P30" s="64" t="s">
        <v>79</v>
      </c>
      <c r="Q30" s="65">
        <f>Q29+Q25</f>
        <v>6997547132.5199995</v>
      </c>
      <c r="R30" s="65">
        <f>R29+R25</f>
        <v>3709957494.8262863</v>
      </c>
      <c r="S30" s="65">
        <f>Q30-R30</f>
        <v>3287589637.6937132</v>
      </c>
    </row>
    <row r="31" spans="1:19" x14ac:dyDescent="0.5">
      <c r="C31" s="17" t="s">
        <v>62</v>
      </c>
      <c r="D31" s="19">
        <v>4500000</v>
      </c>
      <c r="E31" s="19">
        <f>ROUNDUP(A16/(8*4*26),0)</f>
        <v>2</v>
      </c>
      <c r="F31" s="19">
        <f t="shared" si="8"/>
        <v>9000000</v>
      </c>
      <c r="O31" s="6"/>
      <c r="Q31" s="66" t="s">
        <v>81</v>
      </c>
      <c r="R31" s="67">
        <f>-S20+210637139</f>
        <v>235457862.5</v>
      </c>
    </row>
    <row r="32" spans="1:19" x14ac:dyDescent="0.5">
      <c r="C32" s="3" t="s">
        <v>18</v>
      </c>
      <c r="D32" s="43" t="s">
        <v>48</v>
      </c>
      <c r="E32" s="43" t="s">
        <v>48</v>
      </c>
      <c r="F32" s="4">
        <f>SUM(F27:F31)</f>
        <v>45745233.240000002</v>
      </c>
      <c r="Q32" s="66" t="s">
        <v>82</v>
      </c>
      <c r="R32" s="67">
        <f>E31</f>
        <v>2</v>
      </c>
    </row>
    <row r="33" spans="3:18" x14ac:dyDescent="0.5">
      <c r="C33" s="14" t="s">
        <v>64</v>
      </c>
      <c r="D33" s="35" t="s">
        <v>48</v>
      </c>
      <c r="E33" s="35" t="s">
        <v>48</v>
      </c>
      <c r="F33" s="36">
        <f>F32/A16</f>
        <v>48356.483340380553</v>
      </c>
      <c r="Q33" s="66" t="s">
        <v>83</v>
      </c>
      <c r="R33" s="67">
        <f>E21</f>
        <v>2</v>
      </c>
    </row>
  </sheetData>
  <mergeCells count="8">
    <mergeCell ref="N12:Q12"/>
    <mergeCell ref="J26:J28"/>
    <mergeCell ref="A16:A17"/>
    <mergeCell ref="B16:B17"/>
    <mergeCell ref="D1:F1"/>
    <mergeCell ref="B1:C1"/>
    <mergeCell ref="J20:J24"/>
    <mergeCell ref="J12:M12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</dc:creator>
  <cp:lastModifiedBy>Nik</cp:lastModifiedBy>
  <dcterms:created xsi:type="dcterms:W3CDTF">2021-04-14T10:02:48Z</dcterms:created>
  <dcterms:modified xsi:type="dcterms:W3CDTF">2021-04-26T10:07:42Z</dcterms:modified>
</cp:coreProperties>
</file>