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SA\"/>
    </mc:Choice>
  </mc:AlternateContent>
  <xr:revisionPtr revIDLastSave="0" documentId="13_ncr:1_{AB56A5A6-F8B2-4278-AC36-4A27B708E22B}" xr6:coauthVersionLast="45" xr6:coauthVersionMax="45" xr10:uidLastSave="{00000000-0000-0000-0000-000000000000}"/>
  <bookViews>
    <workbookView xWindow="-120" yWindow="-120" windowWidth="24240" windowHeight="13140" activeTab="1" xr2:uid="{94BF204C-63B8-40D0-8F73-9AC02E661EE4}"/>
  </bookViews>
  <sheets>
    <sheet name="یکسال اوّل" sheetId="1" r:id="rId1"/>
    <sheet name="بعد سال اوّل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I4" i="1"/>
  <c r="M17" i="6"/>
  <c r="J15" i="6"/>
  <c r="J17" i="6" s="1"/>
  <c r="G15" i="6"/>
  <c r="G17" i="6" s="1"/>
  <c r="G12" i="6"/>
  <c r="P6" i="6"/>
  <c r="C6" i="6"/>
  <c r="P5" i="6"/>
  <c r="I15" i="6" s="1"/>
  <c r="I17" i="6" s="1"/>
  <c r="C5" i="6"/>
  <c r="P4" i="6"/>
  <c r="H15" i="6" s="1"/>
  <c r="H17" i="6" s="1"/>
  <c r="I4" i="6"/>
  <c r="C4" i="6"/>
  <c r="P3" i="6"/>
  <c r="C3" i="6"/>
  <c r="G12" i="1"/>
  <c r="G26" i="6" l="1"/>
  <c r="I3" i="6"/>
  <c r="G25" i="6"/>
  <c r="G9" i="6" l="1"/>
  <c r="G8" i="6"/>
  <c r="C3" i="1"/>
  <c r="C4" i="1"/>
  <c r="C5" i="1"/>
  <c r="C6" i="1"/>
  <c r="M17" i="1"/>
  <c r="P6" i="1"/>
  <c r="G24" i="6" l="1"/>
  <c r="G27" i="6" s="1"/>
  <c r="G28" i="6" s="1"/>
  <c r="G26" i="1"/>
  <c r="I3" i="1"/>
  <c r="H15" i="1"/>
  <c r="P4" i="1"/>
  <c r="P5" i="1"/>
  <c r="I15" i="1" s="1"/>
  <c r="J15" i="1"/>
  <c r="P3" i="1"/>
  <c r="G15" i="1" s="1"/>
  <c r="J17" i="1" l="1"/>
  <c r="H17" i="1"/>
  <c r="I17" i="1"/>
  <c r="G17" i="1"/>
  <c r="G9" i="1" l="1"/>
  <c r="M21" i="1"/>
  <c r="M23" i="1" s="1"/>
  <c r="G25" i="1"/>
  <c r="G8" i="1"/>
  <c r="G24" i="1" l="1"/>
  <c r="G27" i="1" s="1"/>
  <c r="G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ramin saberi</author>
  </authors>
  <commentList>
    <comment ref="J18" authorId="0" shapeId="0" xr:uid="{A9F42F0F-9954-4A92-AF77-CDFC3BF7266F}">
      <text>
        <r>
          <rPr>
            <sz val="9"/>
            <color indexed="81"/>
            <rFont val="Tahoma"/>
            <family val="2"/>
          </rPr>
          <t>270,000,000
تومان کل سیمی که دورش پیچیده می‌شود</t>
        </r>
      </text>
    </comment>
    <comment ref="G26" authorId="0" shapeId="0" xr:uid="{CB96A7B6-67FB-419B-83F9-A500EAAF0987}">
      <text>
        <r>
          <rPr>
            <b/>
            <sz val="9"/>
            <color indexed="81"/>
            <rFont val="Tahoma"/>
            <family val="2"/>
          </rPr>
          <t>25%درآمد برای فروشنده محاسبه شده است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ramin saberi</author>
  </authors>
  <commentList>
    <comment ref="J18" authorId="0" shapeId="0" xr:uid="{60349B06-9351-4C58-9540-038620101C4E}">
      <text>
        <r>
          <rPr>
            <sz val="9"/>
            <color indexed="81"/>
            <rFont val="Tahoma"/>
            <family val="2"/>
          </rPr>
          <t>270,000,000
تومان کل سیمی که دورش پیچیده می‌شود</t>
        </r>
      </text>
    </comment>
  </commentList>
</comments>
</file>

<file path=xl/sharedStrings.xml><?xml version="1.0" encoding="utf-8"?>
<sst xmlns="http://schemas.openxmlformats.org/spreadsheetml/2006/main" count="151" uniqueCount="64">
  <si>
    <t>دستگاه تزریق پلاستیک</t>
  </si>
  <si>
    <t>مستهلکات</t>
  </si>
  <si>
    <t>قیمت</t>
  </si>
  <si>
    <t>مدت استهلاک - سال</t>
  </si>
  <si>
    <t>تعداد</t>
  </si>
  <si>
    <t>هزینه های جانبی</t>
  </si>
  <si>
    <t>اجاره ماهیانه</t>
  </si>
  <si>
    <t>هزینه - ماه</t>
  </si>
  <si>
    <t>تعداد تولید در روز</t>
  </si>
  <si>
    <t>میکرو</t>
  </si>
  <si>
    <t>کوچک</t>
  </si>
  <si>
    <t>بزرگ</t>
  </si>
  <si>
    <t>ماکرو</t>
  </si>
  <si>
    <t>آب دستگاه</t>
  </si>
  <si>
    <t>برق دستگاه</t>
  </si>
  <si>
    <t>قالب ۱۰ تایی</t>
  </si>
  <si>
    <t>فنر</t>
  </si>
  <si>
    <t>پلاستیک</t>
  </si>
  <si>
    <t>مواد اوّلیه / سایز (قیمت)</t>
  </si>
  <si>
    <t>ارتفاع</t>
  </si>
  <si>
    <t>قطر</t>
  </si>
  <si>
    <t>مجموع</t>
  </si>
  <si>
    <t>قیمت فروش</t>
  </si>
  <si>
    <t>هزینه سرباری / روز</t>
  </si>
  <si>
    <t>هزینه مواد اولیه / روز</t>
  </si>
  <si>
    <t>مقدار</t>
  </si>
  <si>
    <t>قیمت / کیلوگرم</t>
  </si>
  <si>
    <t>درصد خالی بودن</t>
  </si>
  <si>
    <t>ابعاد پلاستیک cm</t>
  </si>
  <si>
    <t>چگالی kg/cm³</t>
  </si>
  <si>
    <t>کارگران</t>
  </si>
  <si>
    <t>مقدار/ ویژگی</t>
  </si>
  <si>
    <t>واحد</t>
  </si>
  <si>
    <t>وضعیت</t>
  </si>
  <si>
    <t>متأهل و دارای ۱ فرزند</t>
  </si>
  <si>
    <t>-</t>
  </si>
  <si>
    <t>نفر</t>
  </si>
  <si>
    <t>دستمزد</t>
  </si>
  <si>
    <t>تومان / ماهانه</t>
  </si>
  <si>
    <t>حق مسکن</t>
  </si>
  <si>
    <t>بن خواربار</t>
  </si>
  <si>
    <t>حق سنوات</t>
  </si>
  <si>
    <t>حق اولاد</t>
  </si>
  <si>
    <t>مقدار کار</t>
  </si>
  <si>
    <t>شیفت / روزانه</t>
  </si>
  <si>
    <t>تومان / سالانه</t>
  </si>
  <si>
    <t>سرمایه اولیّه</t>
  </si>
  <si>
    <t>هزینه</t>
  </si>
  <si>
    <t>اخذ مجوّز</t>
  </si>
  <si>
    <t>دستگاه و قالب</t>
  </si>
  <si>
    <t>رهن</t>
  </si>
  <si>
    <t>تولید</t>
  </si>
  <si>
    <t>حجم / cm³</t>
  </si>
  <si>
    <t>تعداد قالب</t>
  </si>
  <si>
    <t>نسبت</t>
  </si>
  <si>
    <t>درآمد / روز</t>
  </si>
  <si>
    <t>سود - زیان / محصول</t>
  </si>
  <si>
    <t>ماهانه</t>
  </si>
  <si>
    <t>وانت + راننده + بنزین</t>
  </si>
  <si>
    <t>حمل و نقل</t>
  </si>
  <si>
    <t>سود - زیان / روز</t>
  </si>
  <si>
    <t>وام</t>
  </si>
  <si>
    <t>مهلت پرداخت وام / ماه</t>
  </si>
  <si>
    <t>مقدار پرداخت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</si>
</sst>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3000401]0"/>
    <numFmt numFmtId="165" formatCode="_(* #,##0_);_(* \(#,##0\);_(* &quot;-&quot;??_);_(@_)"/>
    <numFmt numFmtId="166" formatCode="_(* #,##0.0000_);_(* \(#,##0.0000\);_(* &quot;-&quot;??_);_(@_)"/>
    <numFmt numFmtId="167" formatCode="[$-3000401]0.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B Nazanin"/>
      <charset val="178"/>
    </font>
    <font>
      <sz val="14"/>
      <color theme="0"/>
      <name val="B Nazanin"/>
      <charset val="178"/>
    </font>
    <font>
      <sz val="18"/>
      <color theme="1"/>
      <name val="B Mitra"/>
      <charset val="178"/>
    </font>
    <font>
      <sz val="14"/>
      <color theme="1"/>
      <name val="B Mitra"/>
      <charset val="178"/>
    </font>
    <font>
      <b/>
      <sz val="14"/>
      <color theme="0"/>
      <name val="B Nazanin"/>
      <charset val="178"/>
    </font>
    <font>
      <sz val="14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5" fontId="5" fillId="6" borderId="0" xfId="1" applyNumberFormat="1" applyFont="1" applyFill="1" applyAlignment="1">
      <alignment horizontal="center" vertical="center"/>
    </xf>
    <xf numFmtId="165" fontId="6" fillId="6" borderId="0" xfId="1" applyNumberFormat="1" applyFont="1" applyFill="1" applyAlignment="1">
      <alignment horizontal="center" vertical="center"/>
    </xf>
    <xf numFmtId="167" fontId="3" fillId="6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3" fontId="3" fillId="6" borderId="0" xfId="1" applyNumberFormat="1" applyFont="1" applyFill="1" applyAlignment="1">
      <alignment horizontal="center" vertical="center"/>
    </xf>
    <xf numFmtId="165" fontId="3" fillId="6" borderId="0" xfId="1" applyNumberFormat="1" applyFont="1" applyFill="1" applyAlignment="1">
      <alignment horizontal="center" vertical="center"/>
    </xf>
    <xf numFmtId="166" fontId="3" fillId="6" borderId="0" xfId="1" applyNumberFormat="1" applyFont="1" applyFill="1" applyAlignment="1">
      <alignment horizontal="center" vertical="center"/>
    </xf>
    <xf numFmtId="165" fontId="3" fillId="6" borderId="0" xfId="0" applyNumberFormat="1" applyFont="1" applyFill="1" applyAlignment="1">
      <alignment horizontal="center" vertical="center"/>
    </xf>
    <xf numFmtId="43" fontId="3" fillId="6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3" fontId="3" fillId="7" borderId="0" xfId="1" applyNumberFormat="1" applyFont="1" applyFill="1" applyAlignment="1">
      <alignment horizontal="center" vertical="center"/>
    </xf>
    <xf numFmtId="165" fontId="3" fillId="7" borderId="0" xfId="1" applyNumberFormat="1" applyFont="1" applyFill="1" applyAlignment="1">
      <alignment horizontal="center" vertical="center"/>
    </xf>
    <xf numFmtId="165" fontId="3" fillId="7" borderId="0" xfId="0" applyNumberFormat="1" applyFont="1" applyFill="1" applyAlignment="1">
      <alignment horizontal="center" vertical="center"/>
    </xf>
    <xf numFmtId="43" fontId="3" fillId="7" borderId="0" xfId="0" applyNumberFormat="1" applyFont="1" applyFill="1" applyAlignment="1">
      <alignment horizontal="center" vertical="center"/>
    </xf>
    <xf numFmtId="164" fontId="6" fillId="7" borderId="0" xfId="0" applyNumberFormat="1" applyFont="1" applyFill="1" applyAlignment="1">
      <alignment horizontal="center" vertical="center"/>
    </xf>
    <xf numFmtId="165" fontId="5" fillId="7" borderId="0" xfId="1" applyNumberFormat="1" applyFont="1" applyFill="1" applyAlignment="1">
      <alignment horizontal="center" vertical="center"/>
    </xf>
    <xf numFmtId="165" fontId="6" fillId="7" borderId="0" xfId="1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C595-95C3-46D9-8133-C95A1B88F77C}">
  <dimension ref="B2:P30"/>
  <sheetViews>
    <sheetView rightToLeft="1" topLeftCell="D13" zoomScale="80" zoomScaleNormal="80" workbookViewId="0">
      <selection activeCell="F32" sqref="F32"/>
    </sheetView>
  </sheetViews>
  <sheetFormatPr defaultColWidth="22.85546875" defaultRowHeight="26.25" customHeight="1" x14ac:dyDescent="0.25"/>
  <cols>
    <col min="1" max="1" width="22.85546875" style="1" customWidth="1"/>
    <col min="2" max="4" width="22.85546875" style="1"/>
    <col min="5" max="7" width="22.85546875" style="1" customWidth="1"/>
    <col min="8" max="10" width="22.85546875" style="1"/>
    <col min="11" max="11" width="22.85546875" style="1" customWidth="1"/>
    <col min="12" max="15" width="22.85546875" style="1"/>
    <col min="16" max="16" width="22.85546875" style="1" customWidth="1"/>
    <col min="17" max="16384" width="22.85546875" style="1"/>
  </cols>
  <sheetData>
    <row r="2" spans="2:16" ht="26.25" customHeight="1" x14ac:dyDescent="0.25">
      <c r="B2" s="3" t="s">
        <v>51</v>
      </c>
      <c r="C2" s="2" t="s">
        <v>8</v>
      </c>
      <c r="D2" s="2" t="s">
        <v>54</v>
      </c>
      <c r="F2" s="3" t="s">
        <v>1</v>
      </c>
      <c r="G2" s="2" t="s">
        <v>2</v>
      </c>
      <c r="H2" s="2" t="s">
        <v>3</v>
      </c>
      <c r="I2" s="2" t="s">
        <v>4</v>
      </c>
      <c r="L2" s="3" t="s">
        <v>28</v>
      </c>
      <c r="M2" s="2" t="s">
        <v>20</v>
      </c>
      <c r="N2" s="2" t="s">
        <v>19</v>
      </c>
      <c r="O2" s="2" t="s">
        <v>27</v>
      </c>
      <c r="P2" s="2" t="s">
        <v>52</v>
      </c>
    </row>
    <row r="3" spans="2:16" ht="26.25" customHeight="1" x14ac:dyDescent="0.25">
      <c r="B3" s="5" t="s">
        <v>9</v>
      </c>
      <c r="C3" s="11">
        <f>D3*C7</f>
        <v>160</v>
      </c>
      <c r="D3" s="10">
        <v>4</v>
      </c>
      <c r="F3" s="5" t="s">
        <v>0</v>
      </c>
      <c r="G3" s="13">
        <v>200000000</v>
      </c>
      <c r="H3" s="10">
        <v>10</v>
      </c>
      <c r="I3" s="11">
        <f>ROUNDUP(I4/10,0)</f>
        <v>1</v>
      </c>
      <c r="L3" s="5" t="s">
        <v>9</v>
      </c>
      <c r="M3" s="9">
        <v>2.5</v>
      </c>
      <c r="N3" s="10">
        <v>1</v>
      </c>
      <c r="O3" s="11">
        <v>50</v>
      </c>
      <c r="P3" s="12">
        <f>((M3/2)^2)*3.1415*(100-O3)*N3/100</f>
        <v>2.4542968750000003</v>
      </c>
    </row>
    <row r="4" spans="2:16" ht="26.25" customHeight="1" x14ac:dyDescent="0.25">
      <c r="B4" s="5" t="s">
        <v>10</v>
      </c>
      <c r="C4" s="18">
        <f>D4*C7</f>
        <v>120</v>
      </c>
      <c r="D4" s="17">
        <v>3</v>
      </c>
      <c r="F4" s="5" t="s">
        <v>15</v>
      </c>
      <c r="G4" s="20">
        <v>150000000</v>
      </c>
      <c r="H4" s="18">
        <v>10</v>
      </c>
      <c r="I4" s="18">
        <f>ROUNDUP(C7/168,0)</f>
        <v>1</v>
      </c>
      <c r="L4" s="5" t="s">
        <v>10</v>
      </c>
      <c r="M4" s="17">
        <v>5</v>
      </c>
      <c r="N4" s="17">
        <v>2</v>
      </c>
      <c r="O4" s="18">
        <v>66.67</v>
      </c>
      <c r="P4" s="19">
        <f t="shared" ref="P4:P5" si="0">((M4/2)^2)*3.1415*(100-O4)*N4/100</f>
        <v>13.088274375000001</v>
      </c>
    </row>
    <row r="5" spans="2:16" ht="26.25" customHeight="1" x14ac:dyDescent="0.25">
      <c r="B5" s="5" t="s">
        <v>11</v>
      </c>
      <c r="C5" s="11">
        <f>D5*C7</f>
        <v>80</v>
      </c>
      <c r="D5" s="10">
        <v>2</v>
      </c>
      <c r="L5" s="5" t="s">
        <v>11</v>
      </c>
      <c r="M5" s="10">
        <v>20</v>
      </c>
      <c r="N5" s="10">
        <v>16</v>
      </c>
      <c r="O5" s="11">
        <v>80</v>
      </c>
      <c r="P5" s="12">
        <f t="shared" si="0"/>
        <v>1005.2800000000002</v>
      </c>
    </row>
    <row r="6" spans="2:16" ht="26.25" customHeight="1" x14ac:dyDescent="0.25">
      <c r="B6" s="5" t="s">
        <v>12</v>
      </c>
      <c r="C6" s="18">
        <f>D6*C7</f>
        <v>40</v>
      </c>
      <c r="D6" s="17">
        <v>1</v>
      </c>
      <c r="F6" s="3" t="s">
        <v>5</v>
      </c>
      <c r="G6" s="2" t="s">
        <v>7</v>
      </c>
      <c r="L6" s="5" t="s">
        <v>12</v>
      </c>
      <c r="M6" s="17">
        <v>100</v>
      </c>
      <c r="N6" s="17">
        <v>70</v>
      </c>
      <c r="O6" s="18">
        <v>94</v>
      </c>
      <c r="P6" s="19">
        <f>((M6/2)^2)*3.1415*(100-O6)*N6/100</f>
        <v>32985.75</v>
      </c>
    </row>
    <row r="7" spans="2:16" ht="26.25" customHeight="1" x14ac:dyDescent="0.25">
      <c r="B7" s="5" t="s">
        <v>53</v>
      </c>
      <c r="C7" s="10">
        <v>40</v>
      </c>
      <c r="D7" s="10">
        <v>10</v>
      </c>
      <c r="F7" s="4" t="s">
        <v>6</v>
      </c>
      <c r="G7" s="13">
        <v>3500000</v>
      </c>
    </row>
    <row r="8" spans="2:16" ht="26.25" customHeight="1" x14ac:dyDescent="0.25">
      <c r="B8" s="27"/>
      <c r="C8" s="28"/>
      <c r="D8" s="28"/>
      <c r="F8" s="4" t="s">
        <v>13</v>
      </c>
      <c r="G8" s="20">
        <f>500*I3</f>
        <v>500</v>
      </c>
      <c r="L8" s="3" t="s">
        <v>30</v>
      </c>
      <c r="M8" s="2" t="s">
        <v>31</v>
      </c>
      <c r="N8" s="2" t="s">
        <v>32</v>
      </c>
    </row>
    <row r="9" spans="2:16" ht="26.25" customHeight="1" x14ac:dyDescent="0.25">
      <c r="B9" s="28"/>
      <c r="C9" s="28"/>
      <c r="D9" s="28"/>
      <c r="F9" s="4" t="s">
        <v>14</v>
      </c>
      <c r="G9" s="13">
        <f>600000*I3</f>
        <v>600000</v>
      </c>
      <c r="L9" s="5" t="s">
        <v>33</v>
      </c>
      <c r="M9" s="7" t="s">
        <v>34</v>
      </c>
      <c r="N9" s="7" t="s">
        <v>35</v>
      </c>
    </row>
    <row r="10" spans="2:16" ht="26.25" customHeight="1" x14ac:dyDescent="0.25">
      <c r="B10" s="28"/>
      <c r="C10" s="28"/>
      <c r="D10" s="28"/>
      <c r="L10" s="5" t="s">
        <v>4</v>
      </c>
      <c r="M10" s="23">
        <v>2</v>
      </c>
      <c r="N10" s="24" t="s">
        <v>36</v>
      </c>
    </row>
    <row r="11" spans="2:16" ht="26.25" customHeight="1" x14ac:dyDescent="0.25">
      <c r="B11" s="28"/>
      <c r="C11" s="28"/>
      <c r="D11" s="28"/>
      <c r="F11" s="3" t="s">
        <v>59</v>
      </c>
      <c r="G11" s="2" t="s">
        <v>57</v>
      </c>
      <c r="L11" s="5" t="s">
        <v>37</v>
      </c>
      <c r="M11" s="8">
        <v>1910427</v>
      </c>
      <c r="N11" s="7" t="s">
        <v>38</v>
      </c>
    </row>
    <row r="12" spans="2:16" ht="26.25" customHeight="1" x14ac:dyDescent="0.25">
      <c r="B12" s="28"/>
      <c r="C12" s="28"/>
      <c r="D12" s="28"/>
      <c r="F12" s="4" t="s">
        <v>58</v>
      </c>
      <c r="G12" s="13">
        <f>ROUNDUP(C7/10,0)*10000000</f>
        <v>40000000</v>
      </c>
      <c r="L12" s="5" t="s">
        <v>39</v>
      </c>
      <c r="M12" s="25">
        <v>300000</v>
      </c>
      <c r="N12" s="24" t="s">
        <v>38</v>
      </c>
    </row>
    <row r="13" spans="2:16" ht="26.25" customHeight="1" x14ac:dyDescent="0.25">
      <c r="B13" s="28"/>
      <c r="C13" s="28"/>
      <c r="D13" s="28"/>
      <c r="L13" s="5" t="s">
        <v>40</v>
      </c>
      <c r="M13" s="8">
        <v>400000</v>
      </c>
      <c r="N13" s="7" t="s">
        <v>38</v>
      </c>
    </row>
    <row r="14" spans="2:16" ht="26.25" customHeight="1" x14ac:dyDescent="0.25">
      <c r="B14" s="28"/>
      <c r="C14" s="28"/>
      <c r="D14" s="28"/>
      <c r="F14" s="3" t="s">
        <v>18</v>
      </c>
      <c r="G14" s="2" t="s">
        <v>9</v>
      </c>
      <c r="H14" s="2" t="s">
        <v>10</v>
      </c>
      <c r="I14" s="2" t="s">
        <v>11</v>
      </c>
      <c r="J14" s="2" t="s">
        <v>12</v>
      </c>
      <c r="L14" s="5" t="s">
        <v>41</v>
      </c>
      <c r="M14" s="25">
        <v>100000</v>
      </c>
      <c r="N14" s="24" t="s">
        <v>38</v>
      </c>
    </row>
    <row r="15" spans="2:16" ht="26.25" customHeight="1" x14ac:dyDescent="0.25">
      <c r="B15" s="28"/>
      <c r="C15" s="28"/>
      <c r="D15" s="28"/>
      <c r="F15" s="5" t="s">
        <v>17</v>
      </c>
      <c r="G15" s="13">
        <f>P3*G21*G22</f>
        <v>688.4302734375002</v>
      </c>
      <c r="H15" s="13">
        <f>P4*G21*G22</f>
        <v>3671.2609621875008</v>
      </c>
      <c r="I15" s="13">
        <f>P5*G21*G22</f>
        <v>281981.0400000001</v>
      </c>
      <c r="J15" s="13">
        <f>P6*G21*G22</f>
        <v>9252502.875</v>
      </c>
      <c r="L15" s="5" t="s">
        <v>42</v>
      </c>
      <c r="M15" s="8">
        <v>191042</v>
      </c>
      <c r="N15" s="7" t="s">
        <v>38</v>
      </c>
    </row>
    <row r="16" spans="2:16" ht="26.25" customHeight="1" x14ac:dyDescent="0.25">
      <c r="B16" s="28"/>
      <c r="C16" s="28"/>
      <c r="D16" s="28"/>
      <c r="F16" s="5" t="s">
        <v>16</v>
      </c>
      <c r="G16" s="20">
        <v>18000</v>
      </c>
      <c r="H16" s="20">
        <v>30000</v>
      </c>
      <c r="I16" s="20">
        <v>60000</v>
      </c>
      <c r="J16" s="20">
        <v>120000</v>
      </c>
      <c r="L16" s="5" t="s">
        <v>43</v>
      </c>
      <c r="M16" s="24">
        <v>2</v>
      </c>
      <c r="N16" s="24" t="s">
        <v>44</v>
      </c>
    </row>
    <row r="17" spans="2:14" ht="26.25" customHeight="1" x14ac:dyDescent="0.25">
      <c r="B17" s="28"/>
      <c r="C17" s="28"/>
      <c r="D17" s="28"/>
      <c r="F17" s="6" t="s">
        <v>21</v>
      </c>
      <c r="G17" s="15">
        <f>SUM(G15:G16)</f>
        <v>18688.430273437501</v>
      </c>
      <c r="H17" s="15">
        <f t="shared" ref="H17:J17" si="1">SUM(H15:H16)</f>
        <v>33671.260962187502</v>
      </c>
      <c r="I17" s="15">
        <f t="shared" si="1"/>
        <v>341981.0400000001</v>
      </c>
      <c r="J17" s="15">
        <f t="shared" si="1"/>
        <v>9372502.875</v>
      </c>
      <c r="L17" s="5" t="s">
        <v>21</v>
      </c>
      <c r="M17" s="7">
        <f>M16*12*(M15+M14+M13+M12+M11)*M10</f>
        <v>139270512</v>
      </c>
      <c r="N17" s="7" t="s">
        <v>45</v>
      </c>
    </row>
    <row r="18" spans="2:14" ht="26.25" customHeight="1" x14ac:dyDescent="0.25">
      <c r="B18" s="28"/>
      <c r="C18" s="28"/>
      <c r="D18" s="28"/>
      <c r="F18" s="6" t="s">
        <v>22</v>
      </c>
      <c r="G18" s="20">
        <v>29999</v>
      </c>
      <c r="H18" s="20">
        <v>54999</v>
      </c>
      <c r="I18" s="20">
        <v>449999</v>
      </c>
      <c r="J18" s="20">
        <v>14499999</v>
      </c>
    </row>
    <row r="19" spans="2:14" ht="26.25" customHeight="1" x14ac:dyDescent="0.25">
      <c r="B19" s="28"/>
      <c r="C19" s="28"/>
      <c r="D19" s="28"/>
      <c r="L19" s="3" t="s">
        <v>46</v>
      </c>
      <c r="M19" s="2" t="s">
        <v>47</v>
      </c>
    </row>
    <row r="20" spans="2:14" ht="26.25" customHeight="1" x14ac:dyDescent="0.25">
      <c r="B20" s="28"/>
      <c r="C20" s="28"/>
      <c r="D20" s="28"/>
      <c r="F20" s="3" t="s">
        <v>17</v>
      </c>
      <c r="G20" s="2" t="s">
        <v>25</v>
      </c>
      <c r="L20" s="5" t="s">
        <v>48</v>
      </c>
      <c r="M20" s="8">
        <v>2000000</v>
      </c>
    </row>
    <row r="21" spans="2:14" ht="26.25" customHeight="1" x14ac:dyDescent="0.25">
      <c r="B21" s="28"/>
      <c r="C21" s="28"/>
      <c r="D21" s="28"/>
      <c r="F21" s="4" t="s">
        <v>29</v>
      </c>
      <c r="G21" s="14">
        <v>8.5000000000000006E-3</v>
      </c>
      <c r="L21" s="5" t="s">
        <v>49</v>
      </c>
      <c r="M21" s="25">
        <f>(G4*I4)+(G3*I3)</f>
        <v>350000000</v>
      </c>
    </row>
    <row r="22" spans="2:14" ht="26.25" customHeight="1" x14ac:dyDescent="0.25">
      <c r="B22" s="28"/>
      <c r="C22" s="28"/>
      <c r="D22" s="28"/>
      <c r="F22" s="4" t="s">
        <v>26</v>
      </c>
      <c r="G22" s="20">
        <v>33000</v>
      </c>
      <c r="L22" s="5" t="s">
        <v>50</v>
      </c>
      <c r="M22" s="8">
        <v>50000000</v>
      </c>
    </row>
    <row r="23" spans="2:14" ht="26.25" customHeight="1" x14ac:dyDescent="0.25">
      <c r="B23" s="28"/>
      <c r="C23" s="28"/>
      <c r="D23" s="28"/>
      <c r="L23" s="26" t="s">
        <v>46</v>
      </c>
      <c r="M23" s="21">
        <f>SUM(M20:M22)</f>
        <v>402000000</v>
      </c>
    </row>
    <row r="24" spans="2:14" ht="26.25" customHeight="1" x14ac:dyDescent="0.25">
      <c r="B24" s="28"/>
      <c r="C24" s="28"/>
      <c r="D24" s="28"/>
      <c r="F24" s="6" t="s">
        <v>23</v>
      </c>
      <c r="G24" s="16">
        <f>(((G4*I4)/(H4*365))+((G3*I3)/(H3*365)))+(M17/365) +((SUM(G7:G9)+G12)/25)+(M27/(25*M26))</f>
        <v>38692663.818067312</v>
      </c>
    </row>
    <row r="25" spans="2:14" ht="26.25" customHeight="1" x14ac:dyDescent="0.25">
      <c r="B25" s="28"/>
      <c r="C25" s="28"/>
      <c r="D25" s="28"/>
      <c r="F25" s="6" t="s">
        <v>24</v>
      </c>
      <c r="G25" s="21">
        <f>(C3*G17)+(C4*H17)+(C5*I17)+(C6*J17)</f>
        <v>409289298.35921252</v>
      </c>
      <c r="L25" s="3" t="s">
        <v>61</v>
      </c>
      <c r="M25" s="2"/>
    </row>
    <row r="26" spans="2:14" ht="26.25" customHeight="1" x14ac:dyDescent="0.25">
      <c r="D26" s="28"/>
      <c r="F26" s="6" t="s">
        <v>55</v>
      </c>
      <c r="G26" s="13">
        <f>((C3*G18)+(C4*H18)+(C5*I18)+(C6*J18))*0.75</f>
        <v>470549700</v>
      </c>
      <c r="L26" s="5" t="s">
        <v>62</v>
      </c>
      <c r="M26" s="8">
        <v>12</v>
      </c>
    </row>
    <row r="27" spans="2:14" ht="26.25" customHeight="1" x14ac:dyDescent="0.25">
      <c r="D27" s="28"/>
      <c r="F27" s="6" t="s">
        <v>60</v>
      </c>
      <c r="G27" s="22">
        <f>G26-G25-G24</f>
        <v>22567737.82272017</v>
      </c>
      <c r="L27" s="5" t="s">
        <v>63</v>
      </c>
      <c r="M27" s="25">
        <f>(1+(M26*0.02))*(M23)+(1.02*25*G25)</f>
        <v>10935357108.15992</v>
      </c>
    </row>
    <row r="28" spans="2:14" ht="26.25" customHeight="1" x14ac:dyDescent="0.25">
      <c r="D28" s="28"/>
      <c r="F28" s="6" t="s">
        <v>56</v>
      </c>
      <c r="G28" s="15">
        <f>G27/(SUM(C3:C6))</f>
        <v>56419.344556800424</v>
      </c>
    </row>
    <row r="29" spans="2:14" ht="26.25" customHeight="1" x14ac:dyDescent="0.25">
      <c r="D29" s="28"/>
    </row>
    <row r="30" spans="2:14" ht="26.25" customHeight="1" x14ac:dyDescent="0.25">
      <c r="D30" s="28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B91B-B8F9-408F-83A6-A496A26D8C9B}">
  <dimension ref="A1:P30"/>
  <sheetViews>
    <sheetView rightToLeft="1" tabSelected="1" topLeftCell="A13" zoomScale="80" zoomScaleNormal="80" workbookViewId="0">
      <selection activeCell="E25" sqref="E25"/>
    </sheetView>
  </sheetViews>
  <sheetFormatPr defaultColWidth="22.85546875" defaultRowHeight="26.25" customHeight="1" x14ac:dyDescent="0.25"/>
  <cols>
    <col min="1" max="1" width="22.85546875" style="1" customWidth="1"/>
    <col min="2" max="4" width="22.85546875" style="1"/>
    <col min="5" max="7" width="22.85546875" style="1" customWidth="1"/>
    <col min="8" max="10" width="22.85546875" style="1"/>
    <col min="11" max="11" width="22.85546875" style="1" customWidth="1"/>
    <col min="12" max="15" width="22.85546875" style="1"/>
    <col min="16" max="16" width="22.85546875" style="1" customWidth="1"/>
    <col min="17" max="16384" width="22.85546875" style="1"/>
  </cols>
  <sheetData>
    <row r="1" spans="1:16" ht="26.25" customHeight="1" x14ac:dyDescent="0.25">
      <c r="A1" s="28"/>
    </row>
    <row r="2" spans="1:16" ht="26.25" customHeight="1" x14ac:dyDescent="0.25">
      <c r="B2" s="3" t="s">
        <v>51</v>
      </c>
      <c r="C2" s="2" t="s">
        <v>8</v>
      </c>
      <c r="D2" s="2" t="s">
        <v>54</v>
      </c>
      <c r="F2" s="3" t="s">
        <v>1</v>
      </c>
      <c r="G2" s="2" t="s">
        <v>2</v>
      </c>
      <c r="H2" s="2" t="s">
        <v>3</v>
      </c>
      <c r="I2" s="2" t="s">
        <v>4</v>
      </c>
      <c r="L2" s="3" t="s">
        <v>28</v>
      </c>
      <c r="M2" s="2" t="s">
        <v>20</v>
      </c>
      <c r="N2" s="2" t="s">
        <v>19</v>
      </c>
      <c r="O2" s="2" t="s">
        <v>27</v>
      </c>
      <c r="P2" s="2" t="s">
        <v>52</v>
      </c>
    </row>
    <row r="3" spans="1:16" ht="26.25" customHeight="1" x14ac:dyDescent="0.25">
      <c r="B3" s="5" t="s">
        <v>9</v>
      </c>
      <c r="C3" s="11">
        <f>D3*C7</f>
        <v>160</v>
      </c>
      <c r="D3" s="10">
        <v>4</v>
      </c>
      <c r="F3" s="5" t="s">
        <v>0</v>
      </c>
      <c r="G3" s="13">
        <v>200000000</v>
      </c>
      <c r="H3" s="10">
        <v>10</v>
      </c>
      <c r="I3" s="11">
        <f>ROUNDUP(I4/10,0)</f>
        <v>1</v>
      </c>
      <c r="L3" s="5" t="s">
        <v>9</v>
      </c>
      <c r="M3" s="9">
        <v>2.5</v>
      </c>
      <c r="N3" s="10">
        <v>1</v>
      </c>
      <c r="O3" s="11">
        <v>50</v>
      </c>
      <c r="P3" s="12">
        <f>((M3/2)^2)*3.1415*(100-O3)*N3/100</f>
        <v>2.4542968750000003</v>
      </c>
    </row>
    <row r="4" spans="1:16" ht="26.25" customHeight="1" x14ac:dyDescent="0.25">
      <c r="B4" s="5" t="s">
        <v>10</v>
      </c>
      <c r="C4" s="18">
        <f>D4*C7</f>
        <v>120</v>
      </c>
      <c r="D4" s="17">
        <v>3</v>
      </c>
      <c r="F4" s="5" t="s">
        <v>15</v>
      </c>
      <c r="G4" s="20">
        <v>150000000</v>
      </c>
      <c r="H4" s="18">
        <v>10</v>
      </c>
      <c r="I4" s="18">
        <f>ROUNDUP(C7/168,0)</f>
        <v>1</v>
      </c>
      <c r="L4" s="5" t="s">
        <v>10</v>
      </c>
      <c r="M4" s="17">
        <v>5</v>
      </c>
      <c r="N4" s="17">
        <v>2</v>
      </c>
      <c r="O4" s="18">
        <v>66.67</v>
      </c>
      <c r="P4" s="19">
        <f t="shared" ref="P4:P5" si="0">((M4/2)^2)*3.1415*(100-O4)*N4/100</f>
        <v>13.088274375000001</v>
      </c>
    </row>
    <row r="5" spans="1:16" ht="26.25" customHeight="1" x14ac:dyDescent="0.25">
      <c r="B5" s="5" t="s">
        <v>11</v>
      </c>
      <c r="C5" s="11">
        <f>D5*C7</f>
        <v>80</v>
      </c>
      <c r="D5" s="10">
        <v>2</v>
      </c>
      <c r="L5" s="5" t="s">
        <v>11</v>
      </c>
      <c r="M5" s="10">
        <v>20</v>
      </c>
      <c r="N5" s="10">
        <v>16</v>
      </c>
      <c r="O5" s="11">
        <v>80</v>
      </c>
      <c r="P5" s="12">
        <f t="shared" si="0"/>
        <v>1005.2800000000002</v>
      </c>
    </row>
    <row r="6" spans="1:16" ht="26.25" customHeight="1" x14ac:dyDescent="0.25">
      <c r="B6" s="5" t="s">
        <v>12</v>
      </c>
      <c r="C6" s="18">
        <f>D6*C7</f>
        <v>40</v>
      </c>
      <c r="D6" s="17">
        <v>1</v>
      </c>
      <c r="F6" s="3" t="s">
        <v>5</v>
      </c>
      <c r="G6" s="2" t="s">
        <v>7</v>
      </c>
      <c r="L6" s="5" t="s">
        <v>12</v>
      </c>
      <c r="M6" s="17">
        <v>100</v>
      </c>
      <c r="N6" s="17">
        <v>70</v>
      </c>
      <c r="O6" s="18">
        <v>94</v>
      </c>
      <c r="P6" s="19">
        <f>((M6/2)^2)*3.1415*(100-O6)*N6/100</f>
        <v>32985.75</v>
      </c>
    </row>
    <row r="7" spans="1:16" ht="26.25" customHeight="1" x14ac:dyDescent="0.25">
      <c r="B7" s="5" t="s">
        <v>53</v>
      </c>
      <c r="C7" s="10">
        <v>40</v>
      </c>
      <c r="D7" s="10">
        <v>10</v>
      </c>
      <c r="F7" s="4" t="s">
        <v>6</v>
      </c>
      <c r="G7" s="13">
        <v>3500000</v>
      </c>
    </row>
    <row r="8" spans="1:16" ht="26.25" customHeight="1" x14ac:dyDescent="0.25">
      <c r="B8" s="27"/>
      <c r="C8" s="28"/>
      <c r="D8" s="28"/>
      <c r="F8" s="4" t="s">
        <v>13</v>
      </c>
      <c r="G8" s="20">
        <f>500*I3</f>
        <v>500</v>
      </c>
      <c r="L8" s="3" t="s">
        <v>30</v>
      </c>
      <c r="M8" s="2" t="s">
        <v>31</v>
      </c>
      <c r="N8" s="2" t="s">
        <v>32</v>
      </c>
    </row>
    <row r="9" spans="1:16" ht="26.25" customHeight="1" x14ac:dyDescent="0.25">
      <c r="B9" s="28"/>
      <c r="C9" s="28"/>
      <c r="D9" s="28"/>
      <c r="F9" s="4" t="s">
        <v>14</v>
      </c>
      <c r="G9" s="13">
        <f>600000*I3</f>
        <v>600000</v>
      </c>
      <c r="L9" s="5" t="s">
        <v>33</v>
      </c>
      <c r="M9" s="7" t="s">
        <v>34</v>
      </c>
      <c r="N9" s="7" t="s">
        <v>35</v>
      </c>
    </row>
    <row r="10" spans="1:16" ht="26.25" customHeight="1" x14ac:dyDescent="0.25">
      <c r="B10" s="28"/>
      <c r="C10" s="28"/>
      <c r="D10" s="28"/>
      <c r="L10" s="5" t="s">
        <v>4</v>
      </c>
      <c r="M10" s="23">
        <v>2</v>
      </c>
      <c r="N10" s="24" t="s">
        <v>36</v>
      </c>
    </row>
    <row r="11" spans="1:16" ht="26.25" customHeight="1" x14ac:dyDescent="0.25">
      <c r="B11" s="28"/>
      <c r="C11" s="28"/>
      <c r="D11" s="28"/>
      <c r="F11" s="3" t="s">
        <v>59</v>
      </c>
      <c r="G11" s="2" t="s">
        <v>57</v>
      </c>
      <c r="L11" s="5" t="s">
        <v>37</v>
      </c>
      <c r="M11" s="8">
        <v>1910427</v>
      </c>
      <c r="N11" s="7" t="s">
        <v>38</v>
      </c>
    </row>
    <row r="12" spans="1:16" ht="26.25" customHeight="1" x14ac:dyDescent="0.25">
      <c r="B12" s="28"/>
      <c r="C12" s="28"/>
      <c r="D12" s="28"/>
      <c r="F12" s="4" t="s">
        <v>58</v>
      </c>
      <c r="G12" s="13">
        <f>ROUNDUP(C7/10,0)*10000000</f>
        <v>40000000</v>
      </c>
      <c r="L12" s="5" t="s">
        <v>39</v>
      </c>
      <c r="M12" s="25">
        <v>300000</v>
      </c>
      <c r="N12" s="24" t="s">
        <v>38</v>
      </c>
    </row>
    <row r="13" spans="1:16" ht="26.25" customHeight="1" x14ac:dyDescent="0.25">
      <c r="B13" s="28"/>
      <c r="C13" s="28"/>
      <c r="D13" s="28"/>
      <c r="L13" s="5" t="s">
        <v>40</v>
      </c>
      <c r="M13" s="8">
        <v>400000</v>
      </c>
      <c r="N13" s="7" t="s">
        <v>38</v>
      </c>
    </row>
    <row r="14" spans="1:16" ht="26.25" customHeight="1" x14ac:dyDescent="0.25">
      <c r="B14" s="28"/>
      <c r="C14" s="28"/>
      <c r="F14" s="3" t="s">
        <v>18</v>
      </c>
      <c r="G14" s="2" t="s">
        <v>9</v>
      </c>
      <c r="H14" s="2" t="s">
        <v>10</v>
      </c>
      <c r="I14" s="2" t="s">
        <v>11</v>
      </c>
      <c r="J14" s="2" t="s">
        <v>12</v>
      </c>
      <c r="L14" s="5" t="s">
        <v>41</v>
      </c>
      <c r="M14" s="25">
        <v>100000</v>
      </c>
      <c r="N14" s="24" t="s">
        <v>38</v>
      </c>
    </row>
    <row r="15" spans="1:16" ht="26.25" customHeight="1" x14ac:dyDescent="0.25">
      <c r="B15" s="28"/>
      <c r="C15" s="28"/>
      <c r="D15" s="28"/>
      <c r="F15" s="5" t="s">
        <v>17</v>
      </c>
      <c r="G15" s="13">
        <f>P3*G21*G22</f>
        <v>688.4302734375002</v>
      </c>
      <c r="H15" s="13">
        <f>P4*G21*G22</f>
        <v>3671.2609621875008</v>
      </c>
      <c r="I15" s="13">
        <f>P5*G21*G22</f>
        <v>281981.0400000001</v>
      </c>
      <c r="J15" s="13">
        <f>P6*G21*G22</f>
        <v>9252502.875</v>
      </c>
      <c r="L15" s="5" t="s">
        <v>42</v>
      </c>
      <c r="M15" s="8">
        <v>191042</v>
      </c>
      <c r="N15" s="7" t="s">
        <v>38</v>
      </c>
    </row>
    <row r="16" spans="1:16" ht="26.25" customHeight="1" x14ac:dyDescent="0.25">
      <c r="B16" s="28"/>
      <c r="C16" s="28"/>
      <c r="D16" s="28"/>
      <c r="F16" s="5" t="s">
        <v>16</v>
      </c>
      <c r="G16" s="20">
        <v>18000</v>
      </c>
      <c r="H16" s="20">
        <v>30000</v>
      </c>
      <c r="I16" s="20">
        <v>60000</v>
      </c>
      <c r="J16" s="20">
        <v>120000</v>
      </c>
      <c r="L16" s="5" t="s">
        <v>43</v>
      </c>
      <c r="M16" s="24">
        <v>2</v>
      </c>
      <c r="N16" s="24" t="s">
        <v>44</v>
      </c>
    </row>
    <row r="17" spans="2:14" ht="26.25" customHeight="1" x14ac:dyDescent="0.25">
      <c r="B17" s="28"/>
      <c r="C17" s="28"/>
      <c r="D17" s="28"/>
      <c r="F17" s="6" t="s">
        <v>21</v>
      </c>
      <c r="G17" s="15">
        <f>SUM(G15:G16)</f>
        <v>18688.430273437501</v>
      </c>
      <c r="H17" s="15">
        <f t="shared" ref="H17:J17" si="1">SUM(H15:H16)</f>
        <v>33671.260962187502</v>
      </c>
      <c r="I17" s="15">
        <f t="shared" si="1"/>
        <v>341981.0400000001</v>
      </c>
      <c r="J17" s="15">
        <f t="shared" si="1"/>
        <v>9372502.875</v>
      </c>
      <c r="L17" s="5" t="s">
        <v>21</v>
      </c>
      <c r="M17" s="7">
        <f>M16*12*(M15+M14+M13+M12+M11)*M10</f>
        <v>139270512</v>
      </c>
      <c r="N17" s="7" t="s">
        <v>45</v>
      </c>
    </row>
    <row r="18" spans="2:14" ht="26.25" customHeight="1" x14ac:dyDescent="0.25">
      <c r="B18" s="28"/>
      <c r="C18" s="28"/>
      <c r="D18" s="28"/>
      <c r="F18" s="6" t="s">
        <v>22</v>
      </c>
      <c r="G18" s="20">
        <v>29999</v>
      </c>
      <c r="H18" s="20">
        <v>54999</v>
      </c>
      <c r="I18" s="20">
        <v>449999</v>
      </c>
      <c r="J18" s="20">
        <v>14499999</v>
      </c>
    </row>
    <row r="19" spans="2:14" ht="26.25" customHeight="1" x14ac:dyDescent="0.25">
      <c r="B19" s="28"/>
      <c r="C19" s="28"/>
      <c r="D19" s="28"/>
    </row>
    <row r="20" spans="2:14" ht="26.25" customHeight="1" x14ac:dyDescent="0.25">
      <c r="B20" s="28"/>
      <c r="C20" s="28"/>
      <c r="D20" s="28"/>
      <c r="F20" s="3" t="s">
        <v>17</v>
      </c>
      <c r="G20" s="2" t="s">
        <v>25</v>
      </c>
    </row>
    <row r="21" spans="2:14" ht="26.25" customHeight="1" x14ac:dyDescent="0.25">
      <c r="B21" s="28"/>
      <c r="C21" s="28"/>
      <c r="D21" s="28"/>
      <c r="F21" s="4" t="s">
        <v>29</v>
      </c>
      <c r="G21" s="14">
        <v>8.5000000000000006E-3</v>
      </c>
    </row>
    <row r="22" spans="2:14" ht="26.25" customHeight="1" x14ac:dyDescent="0.25">
      <c r="B22" s="28"/>
      <c r="C22" s="28"/>
      <c r="D22" s="28"/>
      <c r="F22" s="4" t="s">
        <v>26</v>
      </c>
      <c r="G22" s="20">
        <v>33000</v>
      </c>
    </row>
    <row r="23" spans="2:14" ht="26.25" customHeight="1" x14ac:dyDescent="0.25">
      <c r="B23" s="28"/>
      <c r="C23" s="28"/>
      <c r="D23" s="28"/>
    </row>
    <row r="24" spans="2:14" ht="26.25" customHeight="1" x14ac:dyDescent="0.25">
      <c r="B24" s="28"/>
      <c r="C24" s="28"/>
      <c r="D24" s="28"/>
      <c r="F24" s="6" t="s">
        <v>23</v>
      </c>
      <c r="G24" s="16">
        <f>(((G4*I4)/(H4*365))+((G3*I3)/(H3*365)))+(M17/365) +((SUM(G7:G9)+G12)/25)</f>
        <v>2241473.4575342466</v>
      </c>
    </row>
    <row r="25" spans="2:14" ht="26.25" customHeight="1" x14ac:dyDescent="0.25">
      <c r="B25" s="28"/>
      <c r="C25" s="28"/>
      <c r="D25" s="28"/>
      <c r="F25" s="6" t="s">
        <v>24</v>
      </c>
      <c r="G25" s="21">
        <f>(C3*G17)+(C4*H17)+(C5*I17)+(C6*J17)</f>
        <v>409289298.35921252</v>
      </c>
    </row>
    <row r="26" spans="2:14" ht="26.25" customHeight="1" x14ac:dyDescent="0.25">
      <c r="D26" s="28"/>
      <c r="F26" s="6" t="s">
        <v>55</v>
      </c>
      <c r="G26" s="13">
        <f>((C3*G18)+(C4*H18)+(C5*I18)+(C6*J18))*0.75</f>
        <v>470549700</v>
      </c>
    </row>
    <row r="27" spans="2:14" ht="26.25" customHeight="1" x14ac:dyDescent="0.25">
      <c r="D27" s="28"/>
      <c r="F27" s="6" t="s">
        <v>60</v>
      </c>
      <c r="G27" s="22">
        <f>G26-G25-G24</f>
        <v>59018928.183253236</v>
      </c>
    </row>
    <row r="28" spans="2:14" ht="26.25" customHeight="1" x14ac:dyDescent="0.25">
      <c r="D28" s="28"/>
      <c r="F28" s="6" t="s">
        <v>56</v>
      </c>
      <c r="G28" s="15">
        <f>G27/(SUM(C3:C6))</f>
        <v>147547.32045813309</v>
      </c>
    </row>
    <row r="29" spans="2:14" ht="26.25" customHeight="1" x14ac:dyDescent="0.25">
      <c r="D29" s="28"/>
    </row>
    <row r="30" spans="2:14" ht="26.25" customHeight="1" x14ac:dyDescent="0.25">
      <c r="D30" s="28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یکسال اوّل</vt:lpstr>
      <vt:lpstr>بعد سال اوّل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saberi</dc:creator>
  <cp:lastModifiedBy>ramin saberi</cp:lastModifiedBy>
  <dcterms:created xsi:type="dcterms:W3CDTF">2020-12-12T14:05:59Z</dcterms:created>
  <dcterms:modified xsi:type="dcterms:W3CDTF">2020-12-20T12:16:46Z</dcterms:modified>
</cp:coreProperties>
</file>